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800" activeTab="0"/>
  </bookViews>
  <sheets>
    <sheet name="Лист2" sheetId="1" r:id="rId1"/>
  </sheets>
  <definedNames>
    <definedName name="_xlnm.Print_Titles" localSheetId="0">'Лист2'!$7:$11</definedName>
    <definedName name="_xlnm.Print_Area" localSheetId="0">'Лист2'!$C$1:$S$403</definedName>
  </definedNames>
  <calcPr fullCalcOnLoad="1"/>
</workbook>
</file>

<file path=xl/sharedStrings.xml><?xml version="1.0" encoding="utf-8"?>
<sst xmlns="http://schemas.openxmlformats.org/spreadsheetml/2006/main" count="877" uniqueCount="626">
  <si>
    <t>Резервний фонд</t>
  </si>
  <si>
    <t>видатки споживання</t>
  </si>
  <si>
    <t>видатки розвитку</t>
  </si>
  <si>
    <t>Код                                     програмної класифікації видатків та кредиту- вання місцевого бюджету</t>
  </si>
  <si>
    <t>Назва головного розпорядника коштів</t>
  </si>
  <si>
    <t>Надання позашкільної освіти позашкільними закладами освіти, заходи із позашкільної роботи з дітьми</t>
  </si>
  <si>
    <t>Найменування програми/підпрограми видатків та кредитування місцевих бюджетів</t>
  </si>
  <si>
    <t xml:space="preserve"> - міська програма розвитку футболу в м.Южноукраїнську на 2013-2016 роки</t>
  </si>
  <si>
    <t xml:space="preserve"> - міська програма розвитку культури, фізичної культури, спорту та туризму в м.Южноукраїнську на 2014-2018 роки</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</si>
  <si>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</si>
  <si>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</si>
  <si>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</si>
  <si>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</si>
  <si>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</si>
  <si>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</si>
  <si>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Всього</t>
  </si>
  <si>
    <t>Всього видатки бюджету міста:</t>
  </si>
  <si>
    <t>тис.грн.</t>
  </si>
  <si>
    <t>Видатки спеціального фонду</t>
  </si>
  <si>
    <t xml:space="preserve">до рішення Южноукраїнської міської ради      </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</si>
  <si>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</si>
  <si>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</si>
  <si>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</si>
  <si>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</si>
  <si>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</si>
  <si>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Заклади і заходи з питань дітей та їх соціального захисту</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</si>
  <si>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</si>
  <si>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</si>
  <si>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</si>
  <si>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</si>
  <si>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</si>
  <si>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</si>
  <si>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</si>
  <si>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 xml:space="preserve"> - міська Цільова  програма  захисту  населення і територій від надзвичайних ситуацій техногенного та природного характеру на 2014-2017 роки</t>
  </si>
  <si>
    <t>Т.О.Гончарова</t>
  </si>
  <si>
    <t xml:space="preserve"> - за рахунок субвенції на здійснення заходів щодо соціально-економічного розвитку окремих територій</t>
  </si>
  <si>
    <t xml:space="preserve"> - міська програма підтримки об'єднань співвласників багатоквартирних будинків на 2016-2018 роки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</si>
  <si>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2016 рік"</t>
  </si>
  <si>
    <t>Сприяння розвиту малого та середнього підприємництва</t>
  </si>
  <si>
    <t xml:space="preserve"> - кошти міського бюджету</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</si>
  <si>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</si>
  <si>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</si>
  <si>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 xml:space="preserve"> - субвенція з обласного бюджету</t>
  </si>
  <si>
    <t>Код ТПКВКМБ /
ТКВКБМС</t>
  </si>
  <si>
    <t>Код ФКВКБ</t>
  </si>
  <si>
    <t xml:space="preserve"> - міська програма "Наше місто"на 2015-2019 роки)</t>
  </si>
  <si>
    <t>0180</t>
  </si>
  <si>
    <t>0111</t>
  </si>
  <si>
    <t>0830</t>
  </si>
  <si>
    <t>0490</t>
  </si>
  <si>
    <t>0411</t>
  </si>
  <si>
    <t>0160</t>
  </si>
  <si>
    <t>1010</t>
  </si>
  <si>
    <t>0910</t>
  </si>
  <si>
    <t>1020</t>
  </si>
  <si>
    <t>0921</t>
  </si>
  <si>
    <t>1090</t>
  </si>
  <si>
    <t>0960</t>
  </si>
  <si>
    <t>0990</t>
  </si>
  <si>
    <t>0133</t>
  </si>
  <si>
    <t>1070</t>
  </si>
  <si>
    <t>1040</t>
  </si>
  <si>
    <t>1060</t>
  </si>
  <si>
    <t>0763</t>
  </si>
  <si>
    <t>3012</t>
  </si>
  <si>
    <t>1030</t>
  </si>
  <si>
    <t>3021</t>
  </si>
  <si>
    <t>3022</t>
  </si>
  <si>
    <t>3035</t>
  </si>
  <si>
    <t xml:space="preserve"> - міська комплексна програма "Турбота" на 2013 - 2017 роки</t>
  </si>
  <si>
    <t>3041</t>
  </si>
  <si>
    <t>3042</t>
  </si>
  <si>
    <t>3043</t>
  </si>
  <si>
    <t>3044</t>
  </si>
  <si>
    <t>3045</t>
  </si>
  <si>
    <t>3046</t>
  </si>
  <si>
    <t>3047</t>
  </si>
  <si>
    <t>3050</t>
  </si>
  <si>
    <t>3090</t>
  </si>
  <si>
    <t>3104</t>
  </si>
  <si>
    <t>3180</t>
  </si>
  <si>
    <t>1050</t>
  </si>
  <si>
    <t>3110</t>
  </si>
  <si>
    <t>3112</t>
  </si>
  <si>
    <t>0610</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</si>
  <si>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</si>
  <si>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</si>
  <si>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</si>
  <si>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</si>
  <si>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</si>
  <si>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</si>
  <si>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</si>
  <si>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</si>
  <si>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</si>
  <si>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</si>
  <si>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</si>
  <si>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</si>
  <si>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</si>
  <si>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</si>
  <si>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</si>
  <si>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учасиків АТО та членів їх сімей на 2016-2020 року</t>
  </si>
  <si>
    <t xml:space="preserve"> - міська соціальна програма підтримки учаснииків АТО та членів їх сімей - "Воїни та ветерани антитерористичної операції" </t>
  </si>
  <si>
    <t xml:space="preserve"> - міська соціальна програма підтримки учасників АТО та членів їх сімей на 2016-2020 року</t>
  </si>
  <si>
    <t>7310</t>
  </si>
  <si>
    <t>5061</t>
  </si>
  <si>
    <t xml:space="preserve"> - міська програма  "Фонд міської ради на виконання депутатських повноважень" на 2017 рік </t>
  </si>
  <si>
    <t xml:space="preserve"> - міська комплексна програма "Турбота" на 2013 - 2017 роки - "Рада організації ветеранів війни, праці та військової служби";  "Спілка ветеранів Афганістану"; Товариство інвалідів;  Спілка "Союз-Чорнобиль"</t>
  </si>
  <si>
    <t xml:space="preserve">Пільгове медичне обслуговування осіб, які постраждали внаслідок Чорнобильської катастрофи  (субвенція з обласного бюджету) </t>
  </si>
  <si>
    <t>5031</t>
  </si>
  <si>
    <t>3011</t>
  </si>
  <si>
    <t>3100</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</si>
  <si>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</si>
  <si>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</si>
  <si>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</si>
  <si>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</si>
  <si>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</si>
  <si>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</si>
  <si>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</si>
  <si>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</si>
  <si>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</si>
  <si>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</si>
  <si>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</si>
  <si>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</si>
  <si>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t>2010</t>
  </si>
  <si>
    <t>0731</t>
  </si>
  <si>
    <t xml:space="preserve"> - міська Цільова програма "Цукровий діабет" на 2017-2020 р.р.</t>
  </si>
  <si>
    <t xml:space="preserve"> - субвенція з з обласного бюджету за рахунок коштів медичної субвенції з державного бюджету місцевим бюджетам</t>
  </si>
  <si>
    <t xml:space="preserve"> - утримання та навчально-тренувальна робота комунальних дитячо-юнацьких спортивних шкіл</t>
  </si>
  <si>
    <t>0640</t>
  </si>
  <si>
    <t xml:space="preserve"> - міська програма боротьби з онкологічними захворюваннями в м.Южноукраїнську на період до 2017-2020 року</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</si>
  <si>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в новій редакції</t>
  </si>
  <si>
    <t xml:space="preserve"> - міська програма підтримки об'єднань співвласників багатоквартирних будинків на 2016-2018 роки  в новій редакції</t>
  </si>
  <si>
    <t xml:space="preserve"> - програма розвитку культури, фізичної культури, спорту та туризму в м.Южноукраїнську на 2014-2018 роки</t>
  </si>
  <si>
    <t xml:space="preserve"> - утримання комунального закладу "Територіальний центр соціального обслуговування (надання соціальних послуг) м.Южноукраїнськ</t>
  </si>
  <si>
    <t xml:space="preserve"> - міська програма розвитку малого та середнього підприємництва в м.Южноукраїнську на 2015-2016 роки </t>
  </si>
  <si>
    <t xml:space="preserve"> - субвенції з обласного бюджету місцевим бюджетам на виконання депутатами обласної ради доручень виборців  відповідно до програм, затверджених обласною радою на 2017 рік</t>
  </si>
  <si>
    <t xml:space="preserve"> - міська програма розвитку культури, фізичної культури, спорту та туризму в м.Южноукраїнську на 2014-2018 роки </t>
  </si>
  <si>
    <t xml:space="preserve"> - міська програма підтримки співвласників багатоквартирних будинків на 2016-2018 роки в новій редакції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</si>
  <si>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в частині  укріплення матеріально-технічної бази Южноукраїнського відділення поліції Первомайського відділу поліції Головного Управління Національної поліції в Миколаївській області  (поточний ремонт системи опалення в будівлі Южноукраїнського відділення поліції)</t>
  </si>
  <si>
    <t xml:space="preserve"> -  за рахунок субвенції з обласного бюджету</t>
  </si>
  <si>
    <t xml:space="preserve"> - утримання департаменту соціальних питань та охорони здоров'я Южноукраїнської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</si>
  <si>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в тому числі:</t>
  </si>
  <si>
    <t>0150</t>
  </si>
  <si>
    <t xml:space="preserve"> - утримання виконавчого комітету Южноукраїнської міської ради</t>
  </si>
  <si>
    <t xml:space="preserve"> - міська програма інформаційної підтримки розвитку міста та діяльності органів місцевого самоврядування на 2017 -2018 роки</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</si>
  <si>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</si>
  <si>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</si>
  <si>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</si>
  <si>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</si>
  <si>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</si>
  <si>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</si>
  <si>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</si>
  <si>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</si>
  <si>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</si>
  <si>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</si>
  <si>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</si>
  <si>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</si>
  <si>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 xml:space="preserve"> - утримання служби у справах дітей Южноукраїнської міської ради</t>
  </si>
  <si>
    <t xml:space="preserve"> - утримання управління молоді, спорту та культури Южноукраїнської міської ради</t>
  </si>
  <si>
    <t xml:space="preserve">  - утримання департаменту інфраструктури міського господарства Южноукраїнської міської ради</t>
  </si>
  <si>
    <t>2810160</t>
  </si>
  <si>
    <t>2900000</t>
  </si>
  <si>
    <t>2910000</t>
  </si>
  <si>
    <t>2910160</t>
  </si>
  <si>
    <t xml:space="preserve"> - утримання управління з питань надзвичайних ситуацій та взаємодії з правоохоронними органами Южноукраїнської міської ради</t>
  </si>
  <si>
    <t>3700000</t>
  </si>
  <si>
    <t>3710000</t>
  </si>
  <si>
    <t xml:space="preserve"> - утримання фінансового управління Южноукраїнської міської ради </t>
  </si>
  <si>
    <t>7300</t>
  </si>
  <si>
    <t>Будівництво та регіональний розвиток</t>
  </si>
  <si>
    <t>0117350</t>
  </si>
  <si>
    <t>7350</t>
  </si>
  <si>
    <t>Розроблення схем планування та забудови територій (містобудівної документації)</t>
  </si>
  <si>
    <t>0443</t>
  </si>
  <si>
    <t>0118400</t>
  </si>
  <si>
    <t>8400</t>
  </si>
  <si>
    <t>Засоби масової інформації</t>
  </si>
  <si>
    <t>0118410</t>
  </si>
  <si>
    <t>8410</t>
  </si>
  <si>
    <t>Фінансова підтримка засобів масової інформації</t>
  </si>
  <si>
    <t xml:space="preserve"> - міська програма інформаційної підтримки розвитку міста та діяльності органів місцевого самоврядування на 2017-2018 роки</t>
  </si>
  <si>
    <t>7600</t>
  </si>
  <si>
    <t>Інші програми та заходи, пов'язані з економічною діяльністю</t>
  </si>
  <si>
    <t>0117610</t>
  </si>
  <si>
    <t>7610</t>
  </si>
  <si>
    <t xml:space="preserve"> - міська програма розвитку малого та середнього підприємництва</t>
  </si>
  <si>
    <t>0119800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</si>
  <si>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</si>
  <si>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</si>
  <si>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</si>
  <si>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</si>
  <si>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</si>
  <si>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</si>
  <si>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</si>
  <si>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</si>
  <si>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Методичне забезпечення діяльності навчальних закладів</t>
  </si>
  <si>
    <t>1150</t>
  </si>
  <si>
    <t>0611150</t>
  </si>
  <si>
    <t>Організація та проведення громадських робіт</t>
  </si>
  <si>
    <t xml:space="preserve"> - міська програма зайнятості  населення міста Южноукраїнська на період до 2017 року в частині оплачуваних громадських робіт</t>
  </si>
  <si>
    <t>0617690</t>
  </si>
  <si>
    <t>7690</t>
  </si>
  <si>
    <t>Інша економічна діяльність</t>
  </si>
  <si>
    <t>0812010</t>
  </si>
  <si>
    <t>2141</t>
  </si>
  <si>
    <t>2142</t>
  </si>
  <si>
    <t>2143</t>
  </si>
  <si>
    <t>Централізовані заходи з лікування хворих на цукровий та нецукровий діабет- всього, в тому числі:</t>
  </si>
  <si>
    <t>2144</t>
  </si>
  <si>
    <t>2145</t>
  </si>
  <si>
    <t>0813011</t>
  </si>
  <si>
    <t>0813012</t>
  </si>
  <si>
    <t>0813021</t>
  </si>
  <si>
    <t>0813022</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</si>
  <si>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</si>
  <si>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</si>
  <si>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</si>
  <si>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</si>
  <si>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</si>
  <si>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</si>
  <si>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</si>
  <si>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</si>
  <si>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</si>
  <si>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</si>
  <si>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</si>
  <si>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</si>
  <si>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0813041</t>
  </si>
  <si>
    <t>0813042</t>
  </si>
  <si>
    <t>0813043</t>
  </si>
  <si>
    <t>0813044</t>
  </si>
  <si>
    <t>0813045</t>
  </si>
  <si>
    <t>0813046</t>
  </si>
  <si>
    <t>0813047</t>
  </si>
  <si>
    <t>Надання допомоги на дітей одиноким матерям</t>
  </si>
  <si>
    <t>Надання тимчасової державної допомоги дітям</t>
  </si>
  <si>
    <t>Надання допомоги при усиновленні дитини</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</si>
  <si>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</si>
  <si>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</si>
  <si>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</si>
  <si>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</si>
  <si>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</si>
  <si>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</si>
  <si>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</si>
  <si>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</si>
  <si>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</si>
  <si>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</si>
  <si>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</si>
  <si>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0813230</t>
  </si>
  <si>
    <t>0817690</t>
  </si>
  <si>
    <t xml:space="preserve">Організація та проведення громадських робіт </t>
  </si>
  <si>
    <t>0816080</t>
  </si>
  <si>
    <t>6080</t>
  </si>
  <si>
    <t>Реалізація державних та місцевих житлових програм</t>
  </si>
  <si>
    <t>0816082</t>
  </si>
  <si>
    <t>Придбання житла для окремих категорій населення відповідно до законодавства</t>
  </si>
  <si>
    <t xml:space="preserve"> - міська соціальна програма підтримки учасників АТО та членів їх сімей на 2016-2020 року в частині співфінансування з обласним бюджетом для придбання житла для сімей учасників бойових дій, які безпосередньо приймали участь в АТО</t>
  </si>
  <si>
    <t>6082</t>
  </si>
  <si>
    <t>Інші субвенції з місцевого бюджету</t>
  </si>
  <si>
    <t>0819770</t>
  </si>
  <si>
    <t>9770</t>
  </si>
  <si>
    <t xml:space="preserve"> - субвенція з міського бюджету обласному бюджету на на співфінансування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та міської соціальної програми підтримки учасників АТО та членів їх сімей, на 2016-2020 роки</t>
  </si>
  <si>
    <t>0812141</t>
  </si>
  <si>
    <t>0812142</t>
  </si>
  <si>
    <t>0812143</t>
  </si>
  <si>
    <t>0812144</t>
  </si>
  <si>
    <t>0913110</t>
  </si>
  <si>
    <t>0913112</t>
  </si>
  <si>
    <t xml:space="preserve">Заходи державної політики з питань дітей та їх соціального захисту </t>
  </si>
  <si>
    <t xml:space="preserve"> - міська Програма захисту прав дітей міста Южноукраїнська "Дитинство"на 2013-2017 рік</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</si>
  <si>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</si>
  <si>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</si>
  <si>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</si>
  <si>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</si>
  <si>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</si>
  <si>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</si>
  <si>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</si>
  <si>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</si>
  <si>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</si>
  <si>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</si>
  <si>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</si>
  <si>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</si>
  <si>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</si>
  <si>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Надання спеціальної освіти школами естетичного виховання (музичними, художніми, хореографічними, театральними, хоровими, мистецькими)</t>
  </si>
  <si>
    <t xml:space="preserve"> -міська програма розвитку культури, фізичної культури, спорту та туризму в м.Южноукраїнську на 2014-2018 роки</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</si>
  <si>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</si>
  <si>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</si>
  <si>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</si>
  <si>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</si>
  <si>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</si>
  <si>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</si>
  <si>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</si>
  <si>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</si>
  <si>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</si>
  <si>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2000</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</si>
  <si>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</si>
  <si>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</si>
  <si>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</si>
  <si>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</si>
  <si>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</si>
  <si>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</si>
  <si>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</si>
  <si>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</si>
  <si>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</si>
  <si>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</si>
  <si>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</si>
  <si>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</si>
  <si>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</si>
  <si>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</si>
  <si>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</si>
  <si>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</si>
  <si>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Забезпечення надійної та безперібійної експлуатації ліфтів</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</si>
  <si>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</si>
  <si>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</si>
  <si>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</si>
  <si>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</si>
  <si>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</si>
  <si>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</si>
  <si>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</si>
  <si>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</si>
  <si>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1919770</t>
  </si>
  <si>
    <t xml:space="preserve"> - субвенція з міського бюджету обласному бюджету на надання фінансової підтримки з відновлення аеропортної діяльності комунального підприємства "Миколаївський міжнародний аеропорт" на співфінансування обласної програми розвитку комунального підприємства "Миколаївський міжнародний аеропорт" Миколаївської обласної ради на 2017-2020 роки, затвердженої рішенням обласної ради від 27.04.2017 №16</t>
  </si>
  <si>
    <t>6000</t>
  </si>
  <si>
    <t>Житлово-комунальне господарство</t>
  </si>
  <si>
    <t>7000</t>
  </si>
  <si>
    <t>8000</t>
  </si>
  <si>
    <t>Інша діяльність</t>
  </si>
  <si>
    <t>9000</t>
  </si>
  <si>
    <t>Міжбюджетні трансферти</t>
  </si>
  <si>
    <t>1919700</t>
  </si>
  <si>
    <t>9700</t>
  </si>
  <si>
    <t>Субвенції з місцевого бюджету іншим бюжетам на здійснення програм та заходів за рахунок коштів місцевих бюджетів</t>
  </si>
  <si>
    <t>Державне управління</t>
  </si>
  <si>
    <t>1919000</t>
  </si>
  <si>
    <t>0119000</t>
  </si>
  <si>
    <t>0613000</t>
  </si>
  <si>
    <t>0617000</t>
  </si>
  <si>
    <t>0816000</t>
  </si>
  <si>
    <t>0817600</t>
  </si>
  <si>
    <t>0819000</t>
  </si>
  <si>
    <t>0819700</t>
  </si>
  <si>
    <t>0913000</t>
  </si>
  <si>
    <t>0913100</t>
  </si>
  <si>
    <t>1100</t>
  </si>
  <si>
    <t xml:space="preserve"> - утримання управління екології, охорони навколишнього середовища та земельних відносин Южноукраїнської міської ради</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</si>
  <si>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</si>
  <si>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</si>
  <si>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</si>
  <si>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</si>
  <si>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</si>
  <si>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</si>
  <si>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</si>
  <si>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2818000</t>
  </si>
  <si>
    <t>2918110</t>
  </si>
  <si>
    <t>2918120</t>
  </si>
  <si>
    <t>Заходи з організації рятування на водах                                               (утримання рятувального поста)</t>
  </si>
  <si>
    <t>2919000</t>
  </si>
  <si>
    <t>2919800</t>
  </si>
  <si>
    <t>2918230</t>
  </si>
  <si>
    <t>8230</t>
  </si>
  <si>
    <t>Інші заходи громадського порядку та безпеки</t>
  </si>
  <si>
    <t xml:space="preserve">Інша діяльність </t>
  </si>
  <si>
    <t xml:space="preserve">Економічна діяльність </t>
  </si>
  <si>
    <t>3716000</t>
  </si>
  <si>
    <t>3716072</t>
  </si>
  <si>
    <t>6072</t>
  </si>
  <si>
    <t>3716070</t>
  </si>
  <si>
    <t>6070</t>
  </si>
  <si>
    <t>Регулювання цін/тарифів на житлово-комунальні послуги</t>
  </si>
  <si>
    <t>3717300</t>
  </si>
  <si>
    <t>3717310</t>
  </si>
  <si>
    <t>Будівництво об'єктів житлово-комунального господарства (кошти міського бюджету розвитку на фінансування об'єктів за напрямами та заходами, що будуть визначені рішеннями міської ради при внесенні змін до бюджету міста Южноукраїнська на 2017 рік )</t>
  </si>
  <si>
    <t>3718700</t>
  </si>
  <si>
    <t>3719110</t>
  </si>
  <si>
    <t>9110</t>
  </si>
  <si>
    <t>Багатопрофільна стационарна медична допомога населенню, в тому числі:</t>
  </si>
  <si>
    <t>3230</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</si>
  <si>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 :</t>
  </si>
  <si>
    <t xml:space="preserve">Надання пільг на придбання твердого та рідкого пічного побутового палива і скрапленого газу окремим категоріям громадян відповідно до законодавства </t>
  </si>
  <si>
    <t xml:space="preserve">Надання субсидій населенню для відшкодування витрат на придбання твердого та рідкого пічного побутового палива і скрапленого газу </t>
  </si>
  <si>
    <t xml:space="preserve">Надання пільг на оплату житлово-комунальних послуг окремим категоріям громадян відповідно до законодавства </t>
  </si>
  <si>
    <t xml:space="preserve">Надання субсидій населенню для відшкодування витрат на оплату житлово-комунальних послуг </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</si>
  <si>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</si>
  <si>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</si>
  <si>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</si>
  <si>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</si>
  <si>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</si>
  <si>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</si>
  <si>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</si>
  <si>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</si>
  <si>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</si>
  <si>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</si>
  <si>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1251</t>
  </si>
  <si>
    <t>0812152</t>
  </si>
  <si>
    <t>0812151</t>
  </si>
  <si>
    <t>Забезпечення діяльності інших закладів у сфері охорони здоров’я</t>
  </si>
  <si>
    <t>Інші програми та заходи у сфері охорони здоров’я</t>
  </si>
  <si>
    <t>Надання державної соціальної допомоги малозабезпеченим сім’ям</t>
  </si>
  <si>
    <t>Надання державної соціальної допомоги особам з інвалідністю з дитинства та дітям з інвалідністю</t>
  </si>
  <si>
    <t>0813081</t>
  </si>
  <si>
    <t>3081</t>
  </si>
  <si>
    <t>Надання допомоги по догляду за особами з інвалідністю I чи II групи внаслідок психічного розладу</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</si>
  <si>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</si>
  <si>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</si>
  <si>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</si>
  <si>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</si>
  <si>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</si>
  <si>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</si>
  <si>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</si>
  <si>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</si>
  <si>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r>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r>
    <r>
      <rPr>
        <sz val="14"/>
        <color indexed="56"/>
        <rFont val="Times New Roman"/>
        <family val="1"/>
      </rPr>
      <t xml:space="preserve"> (субвенція з обласного бюджету за рахунок коштів державного бюджету)</t>
    </r>
  </si>
  <si>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</si>
  <si>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</si>
  <si>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</si>
  <si>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</si>
  <si>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</si>
  <si>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</si>
  <si>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</si>
  <si>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0617691</t>
  </si>
  <si>
    <t>Субвенції з місцевого бюджету іншим місцевим бюджетам на здійснення програм та заходів за рахунок коштів місцевих бюджетів</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</si>
  <si>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</si>
  <si>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</si>
  <si>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</si>
  <si>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</si>
  <si>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</si>
  <si>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</si>
  <si>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1917691</t>
  </si>
  <si>
    <t>7693</t>
  </si>
  <si>
    <t>Інші заходи, пов'язані з економічною діяльністю</t>
  </si>
  <si>
    <t>3716090</t>
  </si>
  <si>
    <t>6090</t>
  </si>
  <si>
    <t>Інша діяльність у сфері житлово-комунального господарства</t>
  </si>
  <si>
    <t xml:space="preserve"> - зарезервовані кошти міського бюджету на фінансування напрямів та заходів, що  будуть визначені рішенням міської ради при внесенні змін до бюджету міста Южноукраїнська на 2018 рік (відповідно до п.6 цього рішення) </t>
  </si>
  <si>
    <t>3710160</t>
  </si>
  <si>
    <t>3712000</t>
  </si>
  <si>
    <t>3712010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</si>
  <si>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</si>
  <si>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</si>
  <si>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</si>
  <si>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</si>
  <si>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</si>
  <si>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</si>
  <si>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</si>
  <si>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</si>
  <si>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</si>
  <si>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</si>
  <si>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 xml:space="preserve">Начальник фінансового управління Южноукраїнської міської ради </t>
  </si>
  <si>
    <t>3083</t>
  </si>
  <si>
    <t>0813083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</si>
  <si>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</si>
  <si>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</si>
  <si>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</si>
  <si>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Видатки на поховання учасників бойових дій та осіб з інвалідністю внаслідок війни(субвенція з обласного бюджету) </t>
  </si>
  <si>
    <t>3192</t>
  </si>
  <si>
    <t>0813242</t>
  </si>
  <si>
    <t>Інші заходи у сфері соціального захисту і соціального забезпечення</t>
  </si>
  <si>
    <t>0813121</t>
  </si>
  <si>
    <t>2152</t>
  </si>
  <si>
    <t>0813082</t>
  </si>
  <si>
    <t>3082</t>
  </si>
  <si>
    <t>0200000</t>
  </si>
  <si>
    <t>0210000</t>
  </si>
  <si>
    <t>0210150</t>
  </si>
  <si>
    <t xml:space="preserve"> - надання допомоги дітям-сиротам та дітям, позбавленим батьківського піклування, яким виповнюється 18 років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</si>
  <si>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</si>
  <si>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3718500</t>
  </si>
  <si>
    <t>8500</t>
  </si>
  <si>
    <r>
      <t xml:space="preserve">Нерозподілені трансферти з державного бюджету, </t>
    </r>
    <r>
      <rPr>
        <sz val="14"/>
        <rFont val="Times New Roman"/>
        <family val="1"/>
      </rPr>
      <t xml:space="preserve">
із них:</t>
    </r>
  </si>
  <si>
    <t xml:space="preserve"> -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</si>
  <si>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2818340</t>
  </si>
  <si>
    <t>8340</t>
  </si>
  <si>
    <t>0540</t>
  </si>
  <si>
    <t>Компенсаційні виплати особам з інвалідністю на бензин, ремонт, технічне обслуговування автомобілів, мотоколясок і на транспортне обслуговування (субвенція з обласного бюджету)</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</si>
  <si>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</si>
  <si>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</si>
  <si>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</si>
  <si>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утримання управління освіти Южноукраїнської міської ради</t>
  </si>
  <si>
    <t xml:space="preserve"> -  кошти міського бюджету</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</si>
  <si>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</si>
  <si>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</si>
  <si>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</si>
  <si>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</si>
  <si>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</si>
  <si>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</si>
  <si>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</si>
  <si>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</si>
  <si>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</si>
  <si>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</si>
  <si>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</si>
  <si>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</si>
  <si>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"Наше місто"на 2015-2019 роки</t>
  </si>
  <si>
    <t xml:space="preserve"> - міська програма щодо організації мобілізаційної роботи в м.Южноукраїнську на 2018-2021роки)</t>
  </si>
  <si>
    <t xml:space="preserve"> -  міська програма  "Фонд міської ради на виконання депутатських повноважень" на 2018-2020 роки </t>
  </si>
  <si>
    <t xml:space="preserve">  - утримання дитячої школи містецтв</t>
  </si>
  <si>
    <t xml:space="preserve"> - субвенція з державного бюджету місцевим бюджетам на здійснення заходів щодо соціально-економічного розвитку окремих територій</t>
  </si>
  <si>
    <t xml:space="preserve"> - 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</si>
  <si>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1216040</t>
  </si>
  <si>
    <t>6040</t>
  </si>
  <si>
    <t>Заходи, пов’язані з поліпшенням питної води</t>
  </si>
  <si>
    <t xml:space="preserve"> - міська програма Питна вода  міста  Южноукраїнська на 2007-2020 роки </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</si>
  <si>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</si>
  <si>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</si>
  <si>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</si>
  <si>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</si>
  <si>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</si>
  <si>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</si>
  <si>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</si>
  <si>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1017691</t>
  </si>
  <si>
    <t>1216000</t>
  </si>
  <si>
    <t>1216011</t>
  </si>
  <si>
    <t>1216012</t>
  </si>
  <si>
    <t>1216013</t>
  </si>
  <si>
    <t>1216014</t>
  </si>
  <si>
    <t>1216015</t>
  </si>
  <si>
    <t>1216016</t>
  </si>
  <si>
    <t>1216017</t>
  </si>
  <si>
    <t>1217321</t>
  </si>
  <si>
    <t>1217370</t>
  </si>
  <si>
    <t>1217461</t>
  </si>
  <si>
    <t>1211010</t>
  </si>
  <si>
    <t xml:space="preserve">Надання дошкільної освіти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</si>
  <si>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</si>
  <si>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1211020</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</si>
  <si>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</si>
  <si>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</si>
  <si>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 міська програма підтримки об'єднань співвласників багатоквартирних будинків на 2016-2018 роки  в новій редакції</t>
  </si>
  <si>
    <t>1217330</t>
  </si>
  <si>
    <t>7330</t>
  </si>
  <si>
    <t>Будівництво інших об'єктів соціальної та виробничої інфраструктури комунальної власності</t>
  </si>
  <si>
    <t>1217361</t>
  </si>
  <si>
    <t>7361</t>
  </si>
  <si>
    <t>Співфінансування інвестиційних проектів, що реалізуються за рахунок коштів державного фонду регіонального розвитку</t>
  </si>
  <si>
    <t xml:space="preserve">- міська програма "Розвиток земельних відносин на 2017-2021 роки" </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</si>
  <si>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</si>
  <si>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</si>
  <si>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</si>
  <si>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</si>
  <si>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приватизації майна комунальної власності територіальної громади міста Южноукраїнська на 2018-2020 роки</t>
  </si>
  <si>
    <t>від____________2018_№_________</t>
  </si>
  <si>
    <t xml:space="preserve"> - зарезервовані кошти міського бюджету на фінансування напрямів та заходів в галузі охорона здоров'я, що  будуть визначені рішенням міської ради при внесенні змін до бюджету міста Южноукраїнська на 2018 рік  (п.6 рішення міської ради від 19.12.2017 №953 "Про бюджет міста Южноукраїнськ на 2018 рік")</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</si>
  <si>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</si>
  <si>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</si>
  <si>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t>Програми і централізовані заходи профілактики ВІЛ-інфекції/СНІДу (Міська програма «Охорона здоров`я в місті Южноукраїнську» на  2017-2022 роки)</t>
  </si>
  <si>
    <t>Централізовані заходи з лікування онкологічних хворих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</si>
  <si>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</si>
  <si>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</si>
  <si>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</si>
  <si>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</si>
  <si>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</si>
  <si>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</si>
  <si>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</si>
  <si>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</si>
  <si>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</si>
  <si>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 xml:space="preserve"> - утримання групи господарського обслуговування</t>
  </si>
  <si>
    <t xml:space="preserve"> Забезпечення діяльності інших закладів у сфері освіти, в тому числі: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</si>
  <si>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</si>
  <si>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Забезпечення діяльності палаців i будинків культури, клубів, центрів дозвілля та iнших клубних закладів, в тому числі:</t>
  </si>
  <si>
    <t xml:space="preserve"> - утримання Южноукраїнського міського центру культури та дозвілля </t>
  </si>
  <si>
    <t xml:space="preserve"> -  за рахунок залишку коштів медичної субвенції з державного бюджету станом на 01.01.2018</t>
  </si>
  <si>
    <t xml:space="preserve"> - залишок коштів медичної субвенції з державного бюджету станом на 01.01.2018</t>
  </si>
  <si>
    <t xml:space="preserve"> - залишок коштів освітньої субвенції з державного бюджету станом на 01.01.2018</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</si>
  <si>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</si>
  <si>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0813084</t>
  </si>
  <si>
    <t>3084</t>
  </si>
  <si>
    <t>0812146</t>
  </si>
  <si>
    <t>2146</t>
  </si>
  <si>
    <t xml:space="preserve"> - міська програма розвитку  дорожнього руху та його безпеки в місті Южноукраїнську  на 2018-2022 роки</t>
  </si>
  <si>
    <t>Додаток №2</t>
  </si>
  <si>
    <t>Видатки загального фонду</t>
  </si>
  <si>
    <t>Затверджено на рік з урахуванням змін</t>
  </si>
  <si>
    <t>Виконано за звітний період</t>
  </si>
  <si>
    <t>% виконання</t>
  </si>
  <si>
    <t>Відхилення</t>
  </si>
  <si>
    <t>в т.ч.,               бюджет розвитку</t>
  </si>
  <si>
    <t xml:space="preserve">В тому числі видатки за рахунок субвенцій з державного та обласного бюджету                                                                                                </t>
  </si>
  <si>
    <t xml:space="preserve"> - субвенції з обласного бюджету за рахунок залишку коштів освітньої субвенції, що утворився на початок бюджетного періоду</t>
  </si>
  <si>
    <t xml:space="preserve"> - кошти міського бюджету на співфінансування з обласним бюджетом 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 </t>
  </si>
  <si>
    <t xml:space="preserve"> -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</si>
  <si>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</si>
  <si>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кошти міського бюджету на співфінансування з обласним бюджетом на забезпечення якісної, сучасної та доступної загальної середньої освіти «Нова українська школа» </t>
  </si>
  <si>
    <t xml:space="preserve">  -  кошти міського бюджету </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</si>
  <si>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</si>
  <si>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0619770</t>
  </si>
  <si>
    <t xml:space="preserve">Інші субвенції з місцевого бюджету </t>
  </si>
  <si>
    <t xml:space="preserve"> - субвенція з міського бюджету на співфінансування  з обласним  бюджетом видатків на закупівлю комп'ютерного обладнання для початкових класів  загальної середньої освіти</t>
  </si>
  <si>
    <t xml:space="preserve"> - міська соціальна програма Підтримки учасиків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та міської соціальної програми підтримки учасників АТО та членів їх сімей, на 2016-2020 роки)</t>
  </si>
  <si>
    <t>Виконання бюджету міста Южноукраїнська за видатками за 9 місяців 2018 року</t>
  </si>
  <si>
    <t xml:space="preserve"> - утримання міжшкільного навчально-виробничого комбінату</t>
  </si>
  <si>
    <t>7322</t>
  </si>
  <si>
    <t>1217322</t>
  </si>
  <si>
    <t>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2018 - 2022 роки</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</si>
  <si>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</si>
  <si>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</si>
  <si>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</si>
  <si>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субвенція з державного бюджету місцевим бюджетам на здійснення заходів щодо соціально - економічного розвитку окремих територій</t>
  </si>
  <si>
    <t>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</si>
  <si>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</si>
  <si>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кошти міського бюджету на співфінансування з державним бюджетом на капітатльний ремонт ТРП-1 по вул.Дружби народів. 22-А</t>
  </si>
  <si>
    <t>2817691</t>
  </si>
  <si>
    <r>
      <t>Програми і централізовані заходи боротьби з туберкульозом</t>
    </r>
    <r>
      <rPr>
        <sz val="14"/>
        <color indexed="10"/>
        <rFont val="Times New Roman"/>
        <family val="1"/>
      </rPr>
      <t xml:space="preserve"> </t>
    </r>
    <r>
      <rPr>
        <sz val="14"/>
        <color indexed="8"/>
        <rFont val="Times New Roman"/>
        <family val="1"/>
      </rPr>
      <t>(Міська програма «Охорона здоров`я в місті Южноукраїнську» на  2017-2022 роки)</t>
    </r>
  </si>
  <si>
    <r>
      <t xml:space="preserve">Виконавчий комітет Южноукраїнської міської ради </t>
    </r>
    <r>
      <rPr>
        <sz val="14"/>
        <rFont val="Times New Roman"/>
        <family val="1"/>
      </rPr>
      <t>(головний розпорядник)</t>
    </r>
  </si>
  <si>
    <r>
      <t xml:space="preserve">Виконавчий комітет Южноукраїнської міської ради </t>
    </r>
    <r>
      <rPr>
        <sz val="14"/>
        <rFont val="Times New Roman"/>
        <family val="1"/>
      </rPr>
      <t xml:space="preserve">(відповідальний виконавець) </t>
    </r>
  </si>
  <si>
    <r>
      <t>Управління освіти Южноукраїнської міської ради</t>
    </r>
    <r>
      <rPr>
        <sz val="14"/>
        <rFont val="Times New Roman"/>
        <family val="1"/>
      </rPr>
      <t xml:space="preserve"> (головний розпорядник)</t>
    </r>
  </si>
  <si>
    <r>
      <t xml:space="preserve">Управління освіти Южноукраїнської міської ради </t>
    </r>
    <r>
      <rPr>
        <sz val="14"/>
        <rFont val="Times New Roman"/>
        <family val="1"/>
      </rPr>
      <t xml:space="preserve">(відповідальний виконавець) </t>
    </r>
  </si>
  <si>
    <r>
      <t xml:space="preserve"> - освітня </t>
    </r>
    <r>
      <rPr>
        <sz val="14"/>
        <color indexed="62"/>
        <rFont val="Times New Roman"/>
        <family val="1"/>
      </rPr>
      <t>субвенція з державного бюджету</t>
    </r>
  </si>
  <si>
    <r>
      <t xml:space="preserve"> - міська програма розвитку освіти в м.Южноукраїнську на 2016-2020</t>
    </r>
    <r>
      <rPr>
        <sz val="14"/>
        <color indexed="10"/>
        <rFont val="Times New Roman"/>
        <family val="1"/>
      </rPr>
      <t xml:space="preserve"> </t>
    </r>
    <r>
      <rPr>
        <sz val="14"/>
        <rFont val="Times New Roman"/>
        <family val="1"/>
      </rPr>
      <t>роки</t>
    </r>
  </si>
  <si>
    <r>
      <t xml:space="preserve">Департамент соціальних питань та охорони здоров'я Южноукраїнської міської ради </t>
    </r>
    <r>
      <rPr>
        <sz val="14"/>
        <rFont val="Times New Roman"/>
        <family val="1"/>
      </rPr>
      <t>(головний розпорядник)</t>
    </r>
  </si>
  <si>
    <r>
      <t>Департамент соціальних питань та охорони здоров'я Южноукраїнської міської ради</t>
    </r>
    <r>
      <rPr>
        <sz val="14"/>
        <rFont val="Times New Roman"/>
        <family val="1"/>
      </rPr>
      <t xml:space="preserve"> (відповідальний виконавець) </t>
    </r>
  </si>
  <si>
    <r>
      <t xml:space="preserve"> - медична</t>
    </r>
    <r>
      <rPr>
        <sz val="14"/>
        <color indexed="62"/>
        <rFont val="Times New Roman"/>
        <family val="1"/>
      </rPr>
      <t xml:space="preserve"> субвенція з державного бюджету</t>
    </r>
  </si>
  <si>
    <r>
      <t xml:space="preserve"> - медична </t>
    </r>
    <r>
      <rPr>
        <sz val="14"/>
        <color indexed="62"/>
        <rFont val="Times New Roman"/>
        <family val="1"/>
      </rPr>
      <t>субвенція з державного бюджету</t>
    </r>
  </si>
  <si>
    <r>
      <t xml:space="preserve"> -  здійснення переданих видатків у сфері охорони здоров’я за рахунок коштів медичної </t>
    </r>
    <r>
      <rPr>
        <sz val="14"/>
        <color indexed="56"/>
        <rFont val="Times New Roman"/>
        <family val="1"/>
      </rPr>
      <t>субвенції з державного бюджету</t>
    </r>
    <r>
      <rPr>
        <sz val="14"/>
        <rFont val="Times New Roman"/>
        <family val="1"/>
      </rPr>
      <t xml:space="preserve">   (за рахунок цільових видатків на  лікування хворих на цукровий та нецукровий діабет)</t>
    </r>
  </si>
  <si>
    <r>
      <t>Відшкодування вартості лікарських засобів для лікування окремих захворювань</t>
    </r>
    <r>
      <rPr>
        <sz val="14"/>
        <color indexed="56"/>
        <rFont val="Times New Roman"/>
        <family val="1"/>
      </rPr>
      <t xml:space="preserve"> (субвенція з обласного бюджету за рахунок коштів державного бюджету) </t>
    </r>
  </si>
  <si>
    <r>
      <t xml:space="preserve"> - відшкодування вартості лікарських засобів для лікування окремих захворювань за рахунок відповіднї </t>
    </r>
    <r>
      <rPr>
        <sz val="14"/>
        <color indexed="62"/>
        <rFont val="Times New Roman"/>
        <family val="1"/>
      </rPr>
      <t>субвенції з державного бюджету</t>
    </r>
  </si>
  <si>
    <r>
      <t xml:space="preserve">Служба у справах дітей Южноукраїнської міської ради </t>
    </r>
    <r>
      <rPr>
        <sz val="14"/>
        <rFont val="Times New Roman"/>
        <family val="1"/>
      </rPr>
      <t>(головний розпорядник)</t>
    </r>
  </si>
  <si>
    <r>
      <t xml:space="preserve">Служба у справах дітей Южноукраїнської міської ради </t>
    </r>
    <r>
      <rPr>
        <sz val="14"/>
        <rFont val="Times New Roman"/>
        <family val="1"/>
      </rPr>
      <t xml:space="preserve">(відповідальний виконавець) </t>
    </r>
  </si>
  <si>
    <r>
      <t>Управління молоді, спорту та культури Южноукраїнської міської ради</t>
    </r>
    <r>
      <rPr>
        <sz val="14"/>
        <rFont val="Times New Roman"/>
        <family val="1"/>
      </rPr>
      <t xml:space="preserve"> (головний розпорядник)</t>
    </r>
  </si>
  <si>
    <r>
      <t xml:space="preserve">Управління молоді, спорту та культури Южноукраїнської міської ради </t>
    </r>
    <r>
      <rPr>
        <sz val="14"/>
        <rFont val="Times New Roman"/>
        <family val="1"/>
      </rPr>
      <t xml:space="preserve">(відповідальний виконавець) </t>
    </r>
  </si>
  <si>
    <r>
      <t xml:space="preserve">Департамент інфраструктури міського господарства Южноукраїнської міської ради </t>
    </r>
    <r>
      <rPr>
        <sz val="14"/>
        <rFont val="Times New Roman"/>
        <family val="1"/>
      </rPr>
      <t>(головний розпорядник)</t>
    </r>
  </si>
  <si>
    <r>
      <t xml:space="preserve">Департамент інфраструктури міського господарства Южноукраїнської міської ради </t>
    </r>
    <r>
      <rPr>
        <sz val="14"/>
        <rFont val="Times New Roman"/>
        <family val="1"/>
      </rPr>
      <t xml:space="preserve">(відповідальний виконавець) </t>
    </r>
  </si>
  <si>
    <r>
      <t xml:space="preserve">Управління екології, охорони навколишнього середовища та земельних відносин Южноукраїнської міської ради </t>
    </r>
    <r>
      <rPr>
        <sz val="14"/>
        <rFont val="Times New Roman"/>
        <family val="1"/>
      </rPr>
      <t>(головний розпорядник)</t>
    </r>
  </si>
  <si>
    <r>
      <t xml:space="preserve">Управління екології, охорони навколишнього середовища та земельних відносин Южноукраїнської міської ради </t>
    </r>
    <r>
      <rPr>
        <sz val="14"/>
        <rFont val="Times New Roman"/>
        <family val="1"/>
      </rPr>
      <t xml:space="preserve">(відповідальний виконавець)   </t>
    </r>
  </si>
  <si>
    <r>
      <t xml:space="preserve">Управління з питань надзвичайних ситуацій та взаємодії з правоохоронними органами Южноукраїнської міської ради </t>
    </r>
    <r>
      <rPr>
        <sz val="14"/>
        <rFont val="Times New Roman"/>
        <family val="1"/>
      </rPr>
      <t xml:space="preserve"> (головний розпорядник)</t>
    </r>
  </si>
  <si>
    <r>
      <t xml:space="preserve">Управління з питань надзвичайних ситуацій та взаємодії з правоохоронними органами Южноукраїнської міської ради </t>
    </r>
    <r>
      <rPr>
        <sz val="14"/>
        <rFont val="Times New Roman"/>
        <family val="1"/>
      </rPr>
      <t xml:space="preserve">(відповідальний виконавець) </t>
    </r>
  </si>
  <si>
    <r>
      <t xml:space="preserve">Фінансове  управління Южноукраїнської міської ради </t>
    </r>
    <r>
      <rPr>
        <sz val="14"/>
        <rFont val="Times New Roman"/>
        <family val="1"/>
      </rPr>
      <t>(головний розпорядник)</t>
    </r>
  </si>
  <si>
    <r>
      <rPr>
        <b/>
        <sz val="14"/>
        <rFont val="Times New Roman"/>
        <family val="1"/>
      </rPr>
      <t>Фінансове управління Южноукраїнської міської ради</t>
    </r>
    <r>
      <rPr>
        <sz val="14"/>
        <rFont val="Times New Roman"/>
        <family val="1"/>
      </rPr>
      <t xml:space="preserve"> (відповідальний виконавець) </t>
    </r>
  </si>
  <si>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4"/>
        <color indexed="56"/>
        <rFont val="Times New Roman"/>
        <family val="1"/>
      </rPr>
      <t>за рахунок субвенції з державного бюджету</t>
    </r>
  </si>
  <si>
    <t>від_05.03._____2019_№__1348_______</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</si>
</sst>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0.0000000"/>
    <numFmt numFmtId="205" formatCode="#,##0.00000000"/>
  </numFmts>
  <fonts count="75">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2"/>
      <name val="Times New Roman"/>
      <family val="1"/>
    </font>
    <font>
      <sz val="14"/>
      <color indexed="8"/>
      <name val="Times New Roman"/>
      <family val="1"/>
    </font>
    <font>
      <i/>
      <sz val="12"/>
      <name val="Times New Roman"/>
      <family val="1"/>
    </font>
    <font>
      <sz val="8"/>
      <name val="Arial Cyr"/>
      <family val="0"/>
    </font>
    <font>
      <sz val="14"/>
      <name val="Arial Cyr"/>
      <family val="2"/>
    </font>
    <font>
      <i/>
      <sz val="14"/>
      <name val="Times New Roman"/>
      <family val="1"/>
    </font>
    <font>
      <b/>
      <sz val="14"/>
      <name val="Times New Roman"/>
      <family val="1"/>
    </font>
    <font>
      <i/>
      <sz val="10"/>
      <name val="Arial Cyr"/>
      <family val="0"/>
    </font>
    <font>
      <i/>
      <sz val="14"/>
      <name val="Arial Cyr"/>
      <family val="0"/>
    </font>
    <font>
      <b/>
      <sz val="12"/>
      <name val="Times New Roman"/>
      <family val="1"/>
    </font>
    <font>
      <b/>
      <sz val="15"/>
      <color indexed="62"/>
      <name val="Calibri"/>
      <family val="2"/>
    </font>
    <font>
      <b/>
      <sz val="11"/>
      <color indexed="62"/>
      <name val="Calibri"/>
      <family val="2"/>
    </font>
    <font>
      <b/>
      <sz val="18"/>
      <color indexed="62"/>
      <name val="Cambria"/>
      <family val="2"/>
    </font>
    <font>
      <b/>
      <i/>
      <sz val="14"/>
      <name val="Times New Roman"/>
      <family val="1"/>
    </font>
    <font>
      <b/>
      <i/>
      <sz val="16"/>
      <name val="Times New Roman"/>
      <family val="1"/>
    </font>
    <font>
      <b/>
      <sz val="16"/>
      <name val="Times New Roman"/>
      <family val="1"/>
    </font>
    <font>
      <i/>
      <sz val="10"/>
      <name val="Times New Roman"/>
      <family val="1"/>
    </font>
    <font>
      <sz val="18"/>
      <name val="Times New Roman"/>
      <family val="1"/>
    </font>
    <font>
      <sz val="18"/>
      <name val="Arial Cyr"/>
      <family val="0"/>
    </font>
    <font>
      <b/>
      <sz val="10"/>
      <name val="Arial Cyr"/>
      <family val="0"/>
    </font>
    <font>
      <b/>
      <sz val="14"/>
      <name val="Arial Cyr"/>
      <family val="0"/>
    </font>
    <font>
      <sz val="14"/>
      <color indexed="56"/>
      <name val="Times New Roman"/>
      <family val="1"/>
    </font>
    <font>
      <b/>
      <sz val="14"/>
      <color indexed="8"/>
      <name val="Times New Roman"/>
      <family val="1"/>
    </font>
    <font>
      <sz val="22"/>
      <name val="Times New Roman"/>
      <family val="1"/>
    </font>
    <font>
      <sz val="22"/>
      <name val="Arial Cyr"/>
      <family val="0"/>
    </font>
    <font>
      <sz val="24"/>
      <name val="Times New Roman"/>
      <family val="1"/>
    </font>
    <font>
      <sz val="26"/>
      <name val="Times New Roman"/>
      <family val="1"/>
    </font>
    <font>
      <sz val="24"/>
      <name val="Arial Cyr"/>
      <family val="0"/>
    </font>
    <font>
      <i/>
      <sz val="22"/>
      <name val="Times New Roman"/>
      <family val="1"/>
    </font>
    <font>
      <i/>
      <sz val="24"/>
      <name val="Times New Roman"/>
      <family val="1"/>
    </font>
    <font>
      <i/>
      <sz val="20"/>
      <name val="Times New Roman"/>
      <family val="1"/>
    </font>
    <font>
      <i/>
      <sz val="16"/>
      <name val="Times New Roman"/>
      <family val="1"/>
    </font>
    <font>
      <i/>
      <sz val="18"/>
      <name val="Times New Roman"/>
      <family val="1"/>
    </font>
    <font>
      <b/>
      <i/>
      <sz val="12"/>
      <name val="Times New Roman"/>
      <family val="1"/>
    </font>
    <font>
      <sz val="14"/>
      <color indexed="62"/>
      <name val="Times New Roman"/>
      <family val="1"/>
    </font>
    <font>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theme="0"/>
      <name val="Times New Roman"/>
      <family val="1"/>
    </font>
    <font>
      <sz val="14"/>
      <color rgb="FFFF0000"/>
      <name val="Times New Roman"/>
      <family val="1"/>
    </font>
    <font>
      <sz val="14"/>
      <color theme="1"/>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7" borderId="0" applyNumberFormat="0" applyBorder="0" applyAlignment="0" applyProtection="0"/>
    <xf numFmtId="0" fontId="59" fillId="10" borderId="0" applyNumberFormat="0" applyBorder="0" applyAlignment="0" applyProtection="0"/>
    <xf numFmtId="0" fontId="59" fillId="3"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60" fillId="3" borderId="0" applyNumberFormat="0" applyBorder="0" applyAlignment="0" applyProtection="0"/>
    <xf numFmtId="0" fontId="60" fillId="11"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1" applyNumberFormat="0" applyAlignment="0" applyProtection="0"/>
    <xf numFmtId="0" fontId="62" fillId="2" borderId="2" applyNumberFormat="0" applyAlignment="0" applyProtection="0"/>
    <xf numFmtId="0" fontId="63"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49"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4" fillId="0" borderId="6" applyNumberFormat="0" applyFill="0" applyAlignment="0" applyProtection="0"/>
    <xf numFmtId="0" fontId="65" fillId="20" borderId="7" applyNumberFormat="0" applyAlignment="0" applyProtection="0"/>
    <xf numFmtId="0" fontId="20" fillId="0" borderId="0" applyNumberFormat="0" applyFill="0" applyBorder="0" applyAlignment="0" applyProtection="0"/>
    <xf numFmtId="0" fontId="66" fillId="21" borderId="0" applyNumberFormat="0" applyBorder="0" applyAlignment="0" applyProtection="0"/>
    <xf numFmtId="0" fontId="2" fillId="0" borderId="0" applyNumberFormat="0" applyFill="0" applyBorder="0" applyAlignment="0" applyProtection="0"/>
    <xf numFmtId="0" fontId="67" fillId="22" borderId="0" applyNumberFormat="0" applyBorder="0" applyAlignment="0" applyProtection="0"/>
    <xf numFmtId="0" fontId="6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4" borderId="0" applyNumberFormat="0" applyBorder="0" applyAlignment="0" applyProtection="0"/>
  </cellStyleXfs>
  <cellXfs count="210">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188" fontId="3" fillId="0" borderId="0" xfId="0" applyNumberFormat="1" applyFont="1" applyFill="1" applyBorder="1" applyAlignment="1">
      <alignment wrapText="1"/>
    </xf>
    <xf numFmtId="49" fontId="3" fillId="0" borderId="0" xfId="0" applyNumberFormat="1" applyFont="1" applyFill="1" applyBorder="1" applyAlignment="1">
      <alignment horizontal="center" wrapText="1"/>
    </xf>
    <xf numFmtId="193" fontId="3" fillId="0" borderId="0" xfId="0" applyNumberFormat="1" applyFont="1" applyFill="1" applyAlignment="1">
      <alignment wrapText="1"/>
    </xf>
    <xf numFmtId="0" fontId="3" fillId="0" borderId="0" xfId="0" applyFont="1" applyFill="1" applyBorder="1" applyAlignment="1">
      <alignment/>
    </xf>
    <xf numFmtId="0" fontId="6" fillId="0" borderId="0" xfId="0" applyFont="1" applyFill="1" applyAlignment="1">
      <alignment/>
    </xf>
    <xf numFmtId="0" fontId="7" fillId="0" borderId="0" xfId="0" applyFont="1" applyFill="1" applyAlignment="1">
      <alignment/>
    </xf>
    <xf numFmtId="0" fontId="0" fillId="0" borderId="0" xfId="0" applyFont="1" applyFill="1" applyAlignment="1">
      <alignment/>
    </xf>
    <xf numFmtId="198" fontId="3" fillId="0" borderId="0" xfId="0" applyNumberFormat="1" applyFont="1" applyFill="1" applyAlignment="1">
      <alignment wrapText="1"/>
    </xf>
    <xf numFmtId="198" fontId="8" fillId="0" borderId="0" xfId="0" applyNumberFormat="1" applyFont="1" applyFill="1" applyBorder="1" applyAlignment="1">
      <alignment wrapText="1"/>
    </xf>
    <xf numFmtId="198" fontId="3" fillId="0" borderId="0" xfId="0" applyNumberFormat="1" applyFont="1" applyFill="1" applyBorder="1" applyAlignment="1">
      <alignment wrapText="1"/>
    </xf>
    <xf numFmtId="197" fontId="8" fillId="0" borderId="0" xfId="0" applyNumberFormat="1" applyFont="1" applyFill="1" applyBorder="1" applyAlignment="1">
      <alignment wrapText="1"/>
    </xf>
    <xf numFmtId="0" fontId="8" fillId="0" borderId="0" xfId="0" applyFont="1" applyFill="1" applyBorder="1" applyAlignment="1">
      <alignment/>
    </xf>
    <xf numFmtId="0" fontId="10" fillId="0" borderId="0" xfId="0" applyFont="1" applyFill="1" applyBorder="1" applyAlignment="1">
      <alignment/>
    </xf>
    <xf numFmtId="0" fontId="5" fillId="0" borderId="0" xfId="0" applyFont="1" applyFill="1" applyBorder="1" applyAlignment="1">
      <alignment/>
    </xf>
    <xf numFmtId="198" fontId="3" fillId="0" borderId="0" xfId="0" applyNumberFormat="1" applyFont="1" applyFill="1" applyBorder="1" applyAlignment="1">
      <alignment/>
    </xf>
    <xf numFmtId="188" fontId="0" fillId="0" borderId="0" xfId="0" applyNumberFormat="1" applyFont="1" applyFill="1" applyBorder="1" applyAlignment="1">
      <alignment wrapText="1"/>
    </xf>
    <xf numFmtId="197" fontId="3" fillId="0" borderId="0" xfId="0" applyNumberFormat="1" applyFont="1" applyFill="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12" fillId="0" borderId="0" xfId="0" applyFont="1" applyFill="1" applyAlignment="1">
      <alignment horizontal="center"/>
    </xf>
    <xf numFmtId="0" fontId="3" fillId="0" borderId="0" xfId="0" applyFont="1" applyFill="1" applyAlignment="1">
      <alignment horizontal="left" wrapText="1"/>
    </xf>
    <xf numFmtId="49" fontId="14" fillId="0" borderId="0" xfId="0" applyNumberFormat="1" applyFont="1" applyFill="1" applyBorder="1" applyAlignment="1">
      <alignment horizontal="center"/>
    </xf>
    <xf numFmtId="0" fontId="14"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8" fontId="9" fillId="0" borderId="0" xfId="0" applyNumberFormat="1" applyFont="1" applyFill="1" applyBorder="1" applyAlignment="1" applyProtection="1">
      <alignment/>
      <protection locked="0"/>
    </xf>
    <xf numFmtId="198" fontId="13" fillId="0" borderId="0" xfId="0" applyNumberFormat="1" applyFont="1" applyFill="1" applyBorder="1" applyAlignment="1">
      <alignment wrapText="1"/>
    </xf>
    <xf numFmtId="0" fontId="13" fillId="0" borderId="0" xfId="0" applyFont="1" applyFill="1" applyBorder="1" applyAlignment="1">
      <alignment/>
    </xf>
    <xf numFmtId="0" fontId="3" fillId="0" borderId="0" xfId="0" applyFont="1" applyFill="1" applyBorder="1" applyAlignment="1">
      <alignment vertical="center"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0" xfId="0" applyFont="1" applyFill="1" applyBorder="1" applyAlignment="1">
      <alignment wrapText="1"/>
    </xf>
    <xf numFmtId="0" fontId="15" fillId="0" borderId="0" xfId="0" applyFont="1" applyFill="1" applyBorder="1" applyAlignment="1">
      <alignment/>
    </xf>
    <xf numFmtId="0" fontId="14" fillId="0" borderId="0" xfId="0" applyFont="1" applyFill="1" applyBorder="1" applyAlignment="1">
      <alignment wrapText="1"/>
    </xf>
    <xf numFmtId="198" fontId="10" fillId="0" borderId="0" xfId="0" applyNumberFormat="1" applyFont="1" applyFill="1" applyBorder="1" applyAlignment="1">
      <alignment wrapText="1"/>
    </xf>
    <xf numFmtId="0" fontId="14" fillId="0" borderId="0" xfId="0" applyFont="1" applyFill="1" applyBorder="1" applyAlignment="1">
      <alignment/>
    </xf>
    <xf numFmtId="198" fontId="5" fillId="0" borderId="0" xfId="0" applyNumberFormat="1" applyFont="1" applyFill="1" applyAlignment="1">
      <alignment wrapText="1"/>
    </xf>
    <xf numFmtId="0" fontId="5" fillId="0" borderId="0" xfId="0" applyFont="1" applyFill="1" applyAlignment="1">
      <alignment wrapText="1"/>
    </xf>
    <xf numFmtId="49" fontId="3" fillId="0" borderId="0" xfId="0" applyNumberFormat="1" applyFont="1" applyFill="1" applyAlignment="1">
      <alignment horizontal="center"/>
    </xf>
    <xf numFmtId="49" fontId="14" fillId="0" borderId="10" xfId="0" applyNumberFormat="1" applyFont="1" applyFill="1" applyBorder="1" applyAlignment="1">
      <alignment vertical="center" wrapText="1"/>
    </xf>
    <xf numFmtId="49" fontId="14" fillId="0" borderId="11" xfId="0" applyNumberFormat="1" applyFont="1" applyFill="1" applyBorder="1" applyAlignment="1">
      <alignment horizontal="center" vertical="center" wrapText="1"/>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pplyProtection="1">
      <alignment horizontal="center"/>
      <protection locked="0"/>
    </xf>
    <xf numFmtId="0" fontId="7" fillId="0" borderId="11" xfId="0" applyFont="1" applyFill="1" applyBorder="1" applyAlignment="1">
      <alignment horizontal="center"/>
    </xf>
    <xf numFmtId="0" fontId="9" fillId="0" borderId="0" xfId="0" applyFont="1" applyFill="1" applyBorder="1" applyAlignment="1">
      <alignment wrapText="1"/>
    </xf>
    <xf numFmtId="198" fontId="14" fillId="0" borderId="0" xfId="0" applyNumberFormat="1" applyFont="1" applyFill="1" applyBorder="1" applyAlignment="1">
      <alignment wrapText="1"/>
    </xf>
    <xf numFmtId="0" fontId="0" fillId="0" borderId="0" xfId="0" applyFont="1" applyFill="1" applyBorder="1" applyAlignment="1">
      <alignment/>
    </xf>
    <xf numFmtId="0" fontId="17" fillId="0" borderId="0" xfId="0" applyFont="1" applyFill="1" applyBorder="1" applyAlignment="1">
      <alignment/>
    </xf>
    <xf numFmtId="1" fontId="14" fillId="0" borderId="0" xfId="0" applyNumberFormat="1" applyFont="1" applyFill="1" applyBorder="1" applyAlignment="1">
      <alignment wrapText="1"/>
    </xf>
    <xf numFmtId="0" fontId="12" fillId="0" borderId="0" xfId="0" applyFont="1" applyFill="1" applyBorder="1" applyAlignment="1">
      <alignment/>
    </xf>
    <xf numFmtId="198" fontId="3" fillId="0" borderId="0" xfId="0" applyNumberFormat="1" applyFont="1" applyFill="1" applyAlignment="1">
      <alignment horizontal="left" wrapText="1"/>
    </xf>
    <xf numFmtId="0" fontId="21" fillId="0" borderId="0" xfId="0" applyFont="1" applyFill="1" applyBorder="1" applyAlignment="1">
      <alignment/>
    </xf>
    <xf numFmtId="198" fontId="3" fillId="0" borderId="0" xfId="0" applyNumberFormat="1" applyFont="1" applyFill="1" applyAlignment="1">
      <alignment horizontal="right" wrapText="1"/>
    </xf>
    <xf numFmtId="0" fontId="23" fillId="0" borderId="0" xfId="0" applyFont="1" applyFill="1" applyBorder="1" applyAlignment="1">
      <alignment horizontal="left" wrapText="1"/>
    </xf>
    <xf numFmtId="0" fontId="24" fillId="0" borderId="0" xfId="0" applyFont="1" applyFill="1" applyBorder="1" applyAlignment="1">
      <alignment/>
    </xf>
    <xf numFmtId="0" fontId="25" fillId="0" borderId="0" xfId="0" applyFont="1" applyFill="1" applyAlignment="1">
      <alignment horizontal="center"/>
    </xf>
    <xf numFmtId="0" fontId="25" fillId="0" borderId="0" xfId="0" applyFont="1" applyFill="1" applyAlignment="1">
      <alignment/>
    </xf>
    <xf numFmtId="198" fontId="25" fillId="0" borderId="0" xfId="0" applyNumberFormat="1" applyFont="1" applyFill="1" applyAlignment="1">
      <alignment wrapText="1"/>
    </xf>
    <xf numFmtId="198" fontId="26" fillId="0" borderId="0" xfId="0" applyNumberFormat="1" applyFont="1" applyFill="1" applyAlignment="1">
      <alignment wrapText="1"/>
    </xf>
    <xf numFmtId="198" fontId="25" fillId="0" borderId="0" xfId="0" applyNumberFormat="1" applyFont="1" applyFill="1" applyAlignment="1">
      <alignment horizontal="center" wrapText="1"/>
    </xf>
    <xf numFmtId="198" fontId="27" fillId="0" borderId="0" xfId="0" applyNumberFormat="1" applyFont="1" applyFill="1" applyAlignment="1">
      <alignment/>
    </xf>
    <xf numFmtId="0" fontId="28" fillId="0" borderId="0" xfId="0" applyFont="1" applyFill="1" applyAlignment="1">
      <alignment/>
    </xf>
    <xf numFmtId="0" fontId="16" fillId="0" borderId="0" xfId="0" applyFont="1" applyFill="1" applyBorder="1" applyAlignment="1">
      <alignment/>
    </xf>
    <xf numFmtId="49" fontId="14" fillId="0" borderId="0" xfId="0" applyNumberFormat="1" applyFont="1" applyFill="1" applyBorder="1" applyAlignment="1">
      <alignment horizontal="center" wrapText="1"/>
    </xf>
    <xf numFmtId="49" fontId="14" fillId="0" borderId="0" xfId="0" applyNumberFormat="1" applyFont="1" applyFill="1" applyAlignment="1">
      <alignment horizontal="center"/>
    </xf>
    <xf numFmtId="0" fontId="23" fillId="0" borderId="0" xfId="0" applyFont="1" applyFill="1" applyBorder="1" applyAlignment="1">
      <alignment/>
    </xf>
    <xf numFmtId="49" fontId="23"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0" fontId="23" fillId="0" borderId="0" xfId="0" applyFont="1" applyFill="1" applyBorder="1" applyAlignment="1">
      <alignment wrapText="1"/>
    </xf>
    <xf numFmtId="1" fontId="23" fillId="0" borderId="0" xfId="0" applyNumberFormat="1" applyFont="1" applyFill="1" applyBorder="1" applyAlignment="1">
      <alignment horizontal="left" wrapText="1"/>
    </xf>
    <xf numFmtId="188" fontId="14" fillId="0" borderId="0" xfId="0" applyNumberFormat="1" applyFont="1" applyFill="1" applyBorder="1" applyAlignment="1">
      <alignment wrapText="1"/>
    </xf>
    <xf numFmtId="0" fontId="14" fillId="0" borderId="0" xfId="0" applyFont="1" applyFill="1" applyBorder="1" applyAlignment="1">
      <alignment horizontal="center"/>
    </xf>
    <xf numFmtId="1" fontId="23" fillId="0" borderId="0" xfId="0" applyNumberFormat="1" applyFont="1" applyFill="1" applyBorder="1" applyAlignment="1">
      <alignment wrapText="1"/>
    </xf>
    <xf numFmtId="2" fontId="25" fillId="0" borderId="0" xfId="0" applyNumberFormat="1" applyFont="1" applyFill="1" applyAlignment="1">
      <alignment horizontal="left" wrapText="1"/>
    </xf>
    <xf numFmtId="198" fontId="23" fillId="0" borderId="0" xfId="0" applyNumberFormat="1" applyFont="1" applyFill="1" applyBorder="1" applyAlignment="1">
      <alignment horizontal="right" wrapText="1"/>
    </xf>
    <xf numFmtId="198" fontId="23" fillId="0" borderId="0" xfId="0" applyNumberFormat="1" applyFont="1" applyFill="1" applyAlignment="1">
      <alignment horizontal="right" wrapText="1"/>
    </xf>
    <xf numFmtId="198" fontId="17" fillId="0" borderId="0" xfId="0" applyNumberFormat="1" applyFont="1" applyFill="1" applyAlignment="1">
      <alignment horizontal="right" wrapText="1"/>
    </xf>
    <xf numFmtId="188" fontId="17" fillId="0" borderId="0" xfId="0" applyNumberFormat="1" applyFont="1" applyFill="1" applyBorder="1" applyAlignment="1">
      <alignment horizontal="right" wrapText="1"/>
    </xf>
    <xf numFmtId="1" fontId="23" fillId="0" borderId="0" xfId="0" applyNumberFormat="1" applyFont="1" applyFill="1" applyBorder="1" applyAlignment="1">
      <alignment horizontal="right" wrapText="1"/>
    </xf>
    <xf numFmtId="198" fontId="17" fillId="0" borderId="0" xfId="0" applyNumberFormat="1" applyFont="1" applyFill="1" applyBorder="1" applyAlignment="1">
      <alignment horizontal="right" wrapText="1"/>
    </xf>
    <xf numFmtId="49" fontId="14" fillId="0" borderId="0" xfId="0" applyNumberFormat="1" applyFont="1" applyFill="1" applyAlignment="1">
      <alignment horizontal="right" wrapText="1"/>
    </xf>
    <xf numFmtId="49" fontId="14" fillId="0" borderId="0" xfId="0" applyNumberFormat="1" applyFont="1" applyFill="1" applyBorder="1" applyAlignment="1">
      <alignment horizontal="right" wrapText="1"/>
    </xf>
    <xf numFmtId="197" fontId="3" fillId="0" borderId="0" xfId="0" applyNumberFormat="1" applyFont="1" applyFill="1" applyBorder="1" applyAlignment="1">
      <alignment wrapText="1"/>
    </xf>
    <xf numFmtId="197" fontId="13" fillId="0" borderId="0" xfId="0" applyNumberFormat="1" applyFont="1" applyFill="1" applyBorder="1" applyAlignment="1">
      <alignment wrapText="1"/>
    </xf>
    <xf numFmtId="197" fontId="14" fillId="0" borderId="0" xfId="0" applyNumberFormat="1" applyFont="1" applyFill="1" applyBorder="1" applyAlignment="1">
      <alignment wrapText="1"/>
    </xf>
    <xf numFmtId="197" fontId="23" fillId="0" borderId="0" xfId="0" applyNumberFormat="1" applyFont="1" applyFill="1" applyBorder="1" applyAlignment="1">
      <alignment wrapText="1"/>
    </xf>
    <xf numFmtId="197" fontId="9" fillId="0" borderId="0" xfId="0" applyNumberFormat="1" applyFont="1" applyFill="1" applyBorder="1" applyAlignment="1" applyProtection="1">
      <alignment/>
      <protection locked="0"/>
    </xf>
    <xf numFmtId="197" fontId="3" fillId="0" borderId="0" xfId="0" applyNumberFormat="1" applyFont="1" applyFill="1" applyBorder="1" applyAlignment="1">
      <alignment horizontal="right" wrapText="1"/>
    </xf>
    <xf numFmtId="195" fontId="3" fillId="0" borderId="0" xfId="0" applyNumberFormat="1" applyFont="1" applyFill="1" applyAlignment="1">
      <alignment horizontal="right" wrapText="1"/>
    </xf>
    <xf numFmtId="198" fontId="30" fillId="0" borderId="0" xfId="0" applyNumberFormat="1" applyFont="1" applyFill="1" applyBorder="1" applyAlignment="1" applyProtection="1">
      <alignment/>
      <protection locked="0"/>
    </xf>
    <xf numFmtId="195" fontId="14" fillId="0" borderId="0" xfId="0" applyNumberFormat="1" applyFont="1" applyFill="1" applyAlignment="1">
      <alignment horizontal="right" wrapText="1"/>
    </xf>
    <xf numFmtId="0" fontId="31" fillId="0" borderId="0" xfId="0" applyFont="1" applyFill="1" applyAlignment="1">
      <alignment wrapText="1"/>
    </xf>
    <xf numFmtId="0" fontId="32" fillId="0" borderId="0" xfId="0" applyFont="1" applyFill="1" applyAlignment="1">
      <alignment wrapText="1"/>
    </xf>
    <xf numFmtId="197" fontId="31" fillId="0" borderId="0" xfId="0" applyNumberFormat="1" applyFont="1" applyFill="1" applyAlignment="1">
      <alignment wrapText="1"/>
    </xf>
    <xf numFmtId="197" fontId="31" fillId="0" borderId="0" xfId="0" applyNumberFormat="1" applyFont="1" applyFill="1" applyAlignment="1">
      <alignment/>
    </xf>
    <xf numFmtId="199" fontId="23" fillId="0" borderId="0" xfId="0" applyNumberFormat="1" applyFont="1" applyFill="1" applyBorder="1" applyAlignment="1">
      <alignment wrapText="1"/>
    </xf>
    <xf numFmtId="0" fontId="33" fillId="0" borderId="0" xfId="0" applyFont="1" applyFill="1" applyAlignment="1">
      <alignment/>
    </xf>
    <xf numFmtId="0" fontId="33" fillId="0" borderId="0" xfId="0" applyFont="1" applyFill="1" applyAlignment="1">
      <alignment/>
    </xf>
    <xf numFmtId="198" fontId="33" fillId="0" borderId="0" xfId="0" applyNumberFormat="1" applyFont="1" applyFill="1" applyAlignment="1">
      <alignment wrapText="1"/>
    </xf>
    <xf numFmtId="198" fontId="35" fillId="0" borderId="0" xfId="0" applyNumberFormat="1" applyFont="1" applyFill="1" applyAlignment="1">
      <alignment wrapText="1"/>
    </xf>
    <xf numFmtId="196" fontId="3" fillId="0" borderId="0" xfId="0" applyNumberFormat="1" applyFont="1" applyFill="1" applyBorder="1" applyAlignment="1">
      <alignment wrapText="1"/>
    </xf>
    <xf numFmtId="196" fontId="14" fillId="0" borderId="0" xfId="0" applyNumberFormat="1" applyFont="1" applyFill="1" applyBorder="1" applyAlignment="1">
      <alignment wrapText="1"/>
    </xf>
    <xf numFmtId="196" fontId="9" fillId="0" borderId="0" xfId="0" applyNumberFormat="1" applyFont="1" applyFill="1" applyBorder="1" applyAlignment="1" applyProtection="1">
      <alignment/>
      <protection locked="0"/>
    </xf>
    <xf numFmtId="196" fontId="13" fillId="0" borderId="0" xfId="0" applyNumberFormat="1" applyFont="1" applyFill="1" applyBorder="1" applyAlignment="1">
      <alignment wrapText="1"/>
    </xf>
    <xf numFmtId="196" fontId="8" fillId="0" borderId="0" xfId="0" applyNumberFormat="1" applyFont="1" applyFill="1" applyBorder="1" applyAlignment="1">
      <alignment wrapText="1"/>
    </xf>
    <xf numFmtId="196" fontId="23" fillId="0" borderId="0" xfId="0" applyNumberFormat="1" applyFont="1" applyFill="1" applyBorder="1" applyAlignment="1">
      <alignment wrapText="1"/>
    </xf>
    <xf numFmtId="196" fontId="3" fillId="0" borderId="0" xfId="0" applyNumberFormat="1" applyFont="1" applyFill="1" applyBorder="1" applyAlignment="1">
      <alignment horizontal="right" wrapText="1"/>
    </xf>
    <xf numFmtId="196" fontId="23" fillId="0" borderId="0" xfId="0" applyNumberFormat="1" applyFont="1" applyFill="1" applyBorder="1" applyAlignment="1">
      <alignment horizontal="right" wrapText="1"/>
    </xf>
    <xf numFmtId="196" fontId="0" fillId="0" borderId="0" xfId="0" applyNumberFormat="1" applyFont="1" applyFill="1" applyBorder="1" applyAlignment="1">
      <alignment wrapText="1"/>
    </xf>
    <xf numFmtId="196" fontId="12" fillId="0" borderId="0" xfId="0" applyNumberFormat="1" applyFont="1" applyFill="1" applyBorder="1" applyAlignment="1">
      <alignment wrapText="1"/>
    </xf>
    <xf numFmtId="0" fontId="3" fillId="0" borderId="12" xfId="0" applyFont="1" applyFill="1" applyBorder="1" applyAlignment="1">
      <alignment horizontal="center"/>
    </xf>
    <xf numFmtId="196" fontId="14" fillId="0" borderId="0" xfId="0" applyNumberFormat="1" applyFont="1" applyFill="1" applyBorder="1" applyAlignment="1">
      <alignment/>
    </xf>
    <xf numFmtId="0" fontId="13" fillId="0" borderId="0" xfId="0" applyFont="1" applyFill="1" applyAlignment="1">
      <alignment wrapText="1"/>
    </xf>
    <xf numFmtId="0" fontId="9" fillId="0" borderId="0" xfId="0" applyFont="1" applyFill="1" applyBorder="1" applyAlignment="1">
      <alignment horizontal="left" wrapText="1"/>
    </xf>
    <xf numFmtId="2" fontId="36" fillId="0" borderId="0" xfId="0" applyNumberFormat="1" applyFont="1" applyFill="1" applyAlignment="1">
      <alignment wrapText="1"/>
    </xf>
    <xf numFmtId="0" fontId="38" fillId="0" borderId="0" xfId="0" applyFont="1" applyFill="1" applyAlignment="1">
      <alignment/>
    </xf>
    <xf numFmtId="2" fontId="13" fillId="0" borderId="0" xfId="0" applyNumberFormat="1" applyFont="1" applyFill="1" applyAlignment="1">
      <alignment wrapText="1"/>
    </xf>
    <xf numFmtId="0" fontId="13" fillId="0" borderId="0" xfId="0" applyFont="1" applyFill="1" applyAlignment="1">
      <alignment/>
    </xf>
    <xf numFmtId="0" fontId="24" fillId="0" borderId="13" xfId="0" applyFont="1" applyFill="1" applyBorder="1" applyAlignment="1" applyProtection="1">
      <alignment horizontal="center"/>
      <protection locked="0"/>
    </xf>
    <xf numFmtId="2" fontId="13" fillId="0" borderId="0" xfId="0" applyNumberFormat="1" applyFont="1" applyFill="1" applyBorder="1" applyAlignment="1">
      <alignment wrapText="1"/>
    </xf>
    <xf numFmtId="196" fontId="21" fillId="0" borderId="0" xfId="0" applyNumberFormat="1" applyFont="1" applyFill="1" applyBorder="1" applyAlignment="1">
      <alignment wrapText="1"/>
    </xf>
    <xf numFmtId="196" fontId="21" fillId="0" borderId="0" xfId="0" applyNumberFormat="1" applyFont="1" applyFill="1" applyBorder="1" applyAlignment="1">
      <alignment horizontal="right" wrapText="1"/>
    </xf>
    <xf numFmtId="188" fontId="21" fillId="0" borderId="0" xfId="0" applyNumberFormat="1" applyFont="1" applyFill="1" applyBorder="1" applyAlignment="1">
      <alignment horizontal="right"/>
    </xf>
    <xf numFmtId="196" fontId="13" fillId="0" borderId="0" xfId="0" applyNumberFormat="1" applyFont="1" applyFill="1" applyBorder="1" applyAlignment="1">
      <alignment horizontal="right" wrapText="1"/>
    </xf>
    <xf numFmtId="196" fontId="72" fillId="0" borderId="0" xfId="0" applyNumberFormat="1" applyFont="1" applyFill="1" applyBorder="1" applyAlignment="1">
      <alignment wrapText="1"/>
    </xf>
    <xf numFmtId="198" fontId="13" fillId="0" borderId="0" xfId="0" applyNumberFormat="1" applyFont="1" applyFill="1" applyAlignment="1">
      <alignment wrapText="1"/>
    </xf>
    <xf numFmtId="198" fontId="13" fillId="0" borderId="0" xfId="0" applyNumberFormat="1" applyFont="1" applyFill="1" applyAlignment="1">
      <alignment horizontal="right" wrapText="1"/>
    </xf>
    <xf numFmtId="0" fontId="15" fillId="0" borderId="0" xfId="0" applyFont="1" applyFill="1" applyAlignment="1">
      <alignment/>
    </xf>
    <xf numFmtId="0" fontId="37" fillId="0" borderId="0" xfId="0" applyFont="1" applyFill="1" applyAlignment="1">
      <alignment/>
    </xf>
    <xf numFmtId="0" fontId="40" fillId="0" borderId="0" xfId="0" applyFont="1" applyFill="1" applyAlignment="1">
      <alignment/>
    </xf>
    <xf numFmtId="195" fontId="13" fillId="0" borderId="0" xfId="0" applyNumberFormat="1" applyFont="1" applyFill="1" applyAlignment="1">
      <alignment horizontal="right" wrapText="1"/>
    </xf>
    <xf numFmtId="2" fontId="40" fillId="0" borderId="0" xfId="0" applyNumberFormat="1" applyFont="1" applyFill="1" applyAlignment="1">
      <alignment wrapText="1"/>
    </xf>
    <xf numFmtId="198" fontId="40" fillId="0" borderId="0" xfId="0" applyNumberFormat="1" applyFont="1" applyFill="1" applyAlignment="1">
      <alignment horizontal="center" wrapText="1"/>
    </xf>
    <xf numFmtId="0" fontId="39" fillId="0" borderId="0" xfId="0" applyFont="1" applyFill="1" applyBorder="1" applyAlignment="1">
      <alignment/>
    </xf>
    <xf numFmtId="198" fontId="41" fillId="0" borderId="0" xfId="0" applyNumberFormat="1" applyFont="1" applyFill="1" applyBorder="1" applyAlignment="1">
      <alignment wrapText="1"/>
    </xf>
    <xf numFmtId="198" fontId="39" fillId="0" borderId="0" xfId="0" applyNumberFormat="1" applyFont="1" applyFill="1" applyAlignment="1">
      <alignment wrapText="1"/>
    </xf>
    <xf numFmtId="193" fontId="13" fillId="0" borderId="0" xfId="0" applyNumberFormat="1" applyFont="1" applyFill="1" applyAlignment="1">
      <alignment wrapText="1"/>
    </xf>
    <xf numFmtId="0" fontId="0" fillId="0" borderId="0" xfId="0" applyFont="1" applyFill="1" applyAlignment="1">
      <alignment wrapText="1"/>
    </xf>
    <xf numFmtId="196" fontId="3" fillId="0" borderId="0" xfId="0" applyNumberFormat="1" applyFont="1" applyFill="1" applyBorder="1" applyAlignment="1" applyProtection="1">
      <alignment/>
      <protection locked="0"/>
    </xf>
    <xf numFmtId="196" fontId="3" fillId="0" borderId="0" xfId="0" applyNumberFormat="1" applyFont="1" applyFill="1" applyAlignment="1">
      <alignment horizontal="right" wrapText="1"/>
    </xf>
    <xf numFmtId="197" fontId="3" fillId="0" borderId="0" xfId="0" applyNumberFormat="1" applyFont="1" applyFill="1" applyAlignment="1">
      <alignment horizontal="right" wrapText="1"/>
    </xf>
    <xf numFmtId="197" fontId="3" fillId="0" borderId="0" xfId="0" applyNumberFormat="1" applyFont="1" applyFill="1" applyAlignment="1">
      <alignment horizontal="right"/>
    </xf>
    <xf numFmtId="196" fontId="43" fillId="0" borderId="0" xfId="0" applyNumberFormat="1" applyFont="1" applyFill="1" applyBorder="1" applyAlignment="1">
      <alignment wrapText="1"/>
    </xf>
    <xf numFmtId="0" fontId="73" fillId="0" borderId="0" xfId="0" applyFont="1" applyFill="1" applyBorder="1" applyAlignment="1">
      <alignment horizontal="left" wrapText="1"/>
    </xf>
    <xf numFmtId="0" fontId="73" fillId="0" borderId="0" xfId="0" applyFont="1" applyFill="1" applyBorder="1" applyAlignment="1">
      <alignment wrapText="1"/>
    </xf>
    <xf numFmtId="199" fontId="3" fillId="0" borderId="0" xfId="0" applyNumberFormat="1" applyFont="1" applyFill="1" applyBorder="1" applyAlignment="1">
      <alignment wrapText="1"/>
    </xf>
    <xf numFmtId="196" fontId="30" fillId="0" borderId="0" xfId="0" applyNumberFormat="1" applyFont="1" applyFill="1" applyBorder="1" applyAlignment="1" applyProtection="1">
      <alignment/>
      <protection locked="0"/>
    </xf>
    <xf numFmtId="198" fontId="0" fillId="0" borderId="0" xfId="0" applyNumberFormat="1" applyFont="1" applyFill="1" applyBorder="1" applyAlignment="1">
      <alignment/>
    </xf>
    <xf numFmtId="188" fontId="0" fillId="0" borderId="0" xfId="0" applyNumberFormat="1" applyFont="1" applyFill="1" applyAlignment="1">
      <alignment wrapText="1"/>
    </xf>
    <xf numFmtId="193" fontId="0" fillId="0" borderId="0" xfId="0" applyNumberFormat="1" applyFont="1" applyFill="1" applyAlignment="1">
      <alignment wrapText="1"/>
    </xf>
    <xf numFmtId="196" fontId="23" fillId="0" borderId="0" xfId="0" applyNumberFormat="1" applyFont="1" applyFill="1" applyBorder="1" applyAlignment="1">
      <alignment/>
    </xf>
    <xf numFmtId="2" fontId="31" fillId="0" borderId="0" xfId="0" applyNumberFormat="1" applyFont="1" applyFill="1" applyAlignment="1">
      <alignment wrapText="1"/>
    </xf>
    <xf numFmtId="2" fontId="3" fillId="0" borderId="0" xfId="0" applyNumberFormat="1" applyFont="1" applyFill="1" applyAlignment="1">
      <alignment wrapText="1"/>
    </xf>
    <xf numFmtId="196" fontId="4" fillId="0" borderId="0" xfId="0" applyNumberFormat="1" applyFont="1" applyFill="1" applyBorder="1" applyAlignment="1">
      <alignment wrapText="1"/>
    </xf>
    <xf numFmtId="0" fontId="14" fillId="0" borderId="0" xfId="0" applyFont="1" applyFill="1" applyAlignment="1">
      <alignment/>
    </xf>
    <xf numFmtId="196" fontId="74" fillId="0" borderId="0" xfId="0" applyNumberFormat="1" applyFont="1" applyFill="1" applyBorder="1" applyAlignment="1" applyProtection="1">
      <alignment/>
      <protection locked="0"/>
    </xf>
    <xf numFmtId="196" fontId="13" fillId="0" borderId="0" xfId="0" applyNumberFormat="1" applyFont="1" applyFill="1" applyAlignment="1">
      <alignment/>
    </xf>
    <xf numFmtId="198" fontId="25" fillId="0" borderId="0" xfId="0" applyNumberFormat="1" applyFont="1" applyFill="1" applyAlignment="1">
      <alignment horizontal="center"/>
    </xf>
    <xf numFmtId="2" fontId="25" fillId="0" borderId="0" xfId="0" applyNumberFormat="1" applyFont="1" applyFill="1" applyAlignment="1">
      <alignment wrapText="1"/>
    </xf>
    <xf numFmtId="198" fontId="8" fillId="0" borderId="0" xfId="0" applyNumberFormat="1" applyFont="1" applyFill="1" applyAlignment="1">
      <alignment wrapText="1"/>
    </xf>
    <xf numFmtId="193" fontId="14" fillId="0" borderId="0" xfId="0" applyNumberFormat="1" applyFont="1" applyFill="1" applyAlignment="1">
      <alignment wrapText="1"/>
    </xf>
    <xf numFmtId="188" fontId="3" fillId="0" borderId="0" xfId="0" applyNumberFormat="1" applyFont="1" applyFill="1" applyAlignment="1">
      <alignment wrapText="1"/>
    </xf>
    <xf numFmtId="2" fontId="33" fillId="0" borderId="0" xfId="0" applyNumberFormat="1" applyFont="1" applyFill="1" applyAlignment="1">
      <alignment horizontal="left"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2" fontId="23" fillId="0" borderId="18" xfId="0" applyNumberFormat="1" applyFont="1" applyFill="1" applyBorder="1" applyAlignment="1" applyProtection="1">
      <alignment horizontal="center" vertical="center" wrapText="1"/>
      <protection locked="0"/>
    </xf>
    <xf numFmtId="2" fontId="23" fillId="0" borderId="10" xfId="0" applyNumberFormat="1" applyFont="1" applyFill="1" applyBorder="1" applyAlignment="1" applyProtection="1">
      <alignment horizontal="center" vertical="center" wrapText="1"/>
      <protection locked="0"/>
    </xf>
    <xf numFmtId="2" fontId="23" fillId="0" borderId="11" xfId="0" applyNumberFormat="1" applyFont="1" applyFill="1" applyBorder="1" applyAlignment="1" applyProtection="1">
      <alignment horizontal="center" vertical="center" wrapText="1"/>
      <protection locked="0"/>
    </xf>
    <xf numFmtId="198" fontId="33" fillId="0" borderId="0" xfId="0" applyNumberFormat="1" applyFont="1" applyFill="1" applyAlignment="1">
      <alignment horizontal="center" wrapText="1"/>
    </xf>
    <xf numFmtId="49" fontId="14" fillId="0" borderId="18"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6"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49" fontId="14" fillId="0" borderId="24" xfId="0" applyNumberFormat="1" applyFont="1" applyFill="1" applyBorder="1" applyAlignment="1" applyProtection="1">
      <alignment horizontal="center" vertical="center" wrapText="1"/>
      <protection locked="0"/>
    </xf>
    <xf numFmtId="49" fontId="14" fillId="0" borderId="25" xfId="0" applyNumberFormat="1" applyFont="1" applyFill="1" applyBorder="1" applyAlignment="1" applyProtection="1">
      <alignment horizontal="center" vertical="center" wrapText="1"/>
      <protection locked="0"/>
    </xf>
    <xf numFmtId="2" fontId="22" fillId="0" borderId="18" xfId="0" applyNumberFormat="1" applyFont="1" applyFill="1" applyBorder="1" applyAlignment="1" applyProtection="1">
      <alignment horizontal="center" vertical="center" wrapText="1"/>
      <protection locked="0"/>
    </xf>
    <xf numFmtId="2" fontId="22" fillId="0" borderId="10" xfId="0" applyNumberFormat="1" applyFont="1" applyFill="1" applyBorder="1" applyAlignment="1" applyProtection="1">
      <alignment horizontal="center" vertical="center" wrapText="1"/>
      <protection locked="0"/>
    </xf>
    <xf numFmtId="2" fontId="22" fillId="0" borderId="11" xfId="0" applyNumberFormat="1" applyFont="1" applyFill="1" applyBorder="1" applyAlignment="1" applyProtection="1">
      <alignment horizontal="center" vertical="center" wrapText="1"/>
      <protection locked="0"/>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49" fontId="14" fillId="0" borderId="18" xfId="0" applyNumberFormat="1" applyFont="1" applyFill="1" applyBorder="1" applyAlignment="1" applyProtection="1">
      <alignment horizontal="center" vertical="center" wrapText="1"/>
      <protection locked="0"/>
    </xf>
    <xf numFmtId="49" fontId="14" fillId="0" borderId="11" xfId="0" applyNumberFormat="1" applyFont="1" applyFill="1" applyBorder="1" applyAlignment="1" applyProtection="1">
      <alignment horizontal="center" vertical="center" wrapText="1"/>
      <protection locked="0"/>
    </xf>
    <xf numFmtId="0" fontId="33" fillId="0" borderId="0" xfId="0" applyFont="1" applyFill="1" applyAlignment="1">
      <alignment horizontal="left"/>
    </xf>
    <xf numFmtId="0" fontId="33" fillId="0" borderId="0" xfId="0" applyFont="1" applyFill="1" applyAlignment="1">
      <alignment horizontal="left" wrapText="1"/>
    </xf>
    <xf numFmtId="49" fontId="14" fillId="0" borderId="28" xfId="0" applyNumberFormat="1" applyFont="1" applyFill="1" applyBorder="1" applyAlignment="1" applyProtection="1">
      <alignment horizontal="center" vertical="center" wrapText="1"/>
      <protection locked="0"/>
    </xf>
    <xf numFmtId="49" fontId="14" fillId="0" borderId="29" xfId="0" applyNumberFormat="1" applyFont="1" applyFill="1" applyBorder="1" applyAlignment="1" applyProtection="1">
      <alignment horizontal="center" vertical="center" wrapText="1"/>
      <protection locked="0"/>
    </xf>
    <xf numFmtId="49" fontId="14" fillId="0" borderId="30"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locked="0"/>
    </xf>
    <xf numFmtId="49" fontId="14" fillId="0" borderId="20" xfId="0" applyNumberFormat="1" applyFont="1" applyFill="1" applyBorder="1" applyAlignment="1" applyProtection="1">
      <alignment horizontal="center" vertical="center" wrapText="1"/>
      <protection locked="0"/>
    </xf>
    <xf numFmtId="49" fontId="14" fillId="0" borderId="15" xfId="0" applyNumberFormat="1" applyFont="1" applyFill="1" applyBorder="1" applyAlignment="1" applyProtection="1">
      <alignment horizontal="center" vertical="center" wrapText="1"/>
      <protection locked="0"/>
    </xf>
    <xf numFmtId="49" fontId="14" fillId="0" borderId="10" xfId="0" applyNumberFormat="1" applyFont="1" applyFill="1" applyBorder="1" applyAlignment="1" applyProtection="1">
      <alignment horizontal="center" vertical="center" wrapText="1"/>
      <protection locked="0"/>
    </xf>
    <xf numFmtId="49" fontId="14" fillId="0" borderId="17" xfId="0" applyNumberFormat="1" applyFont="1" applyFill="1" applyBorder="1" applyAlignment="1" applyProtection="1">
      <alignment horizontal="center" vertical="center" wrapText="1"/>
      <protection locked="0"/>
    </xf>
    <xf numFmtId="0" fontId="14" fillId="0" borderId="31" xfId="0" applyFont="1" applyFill="1" applyBorder="1" applyAlignment="1">
      <alignment horizontal="center" vertical="center" wrapText="1"/>
    </xf>
    <xf numFmtId="49" fontId="34" fillId="0" borderId="0" xfId="0" applyNumberFormat="1"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445"/>
  <sheetViews>
    <sheetView tabSelected="1" view="pageBreakPreview" zoomScale="70" zoomScaleNormal="50" zoomScaleSheetLayoutView="70" zoomScalePageLayoutView="0" workbookViewId="0" topLeftCell="D1">
      <selection activeCell="G7" sqref="G7:I7"/>
    </sheetView>
  </sheetViews>
  <sheetFormatPr defaultColWidth="9.00390625" defaultRowHeight="12.75"/>
  <cols>
    <col min="1" max="1" width="4.00390625" style="2" hidden="1" customWidth="1"/>
    <col min="2" max="2" width="8.25390625" style="2" hidden="1" customWidth="1"/>
    <col min="3" max="3" width="16.00390625" style="20" customWidth="1"/>
    <col min="4" max="4" width="11.375" style="20" customWidth="1"/>
    <col min="5" max="5" width="13.25390625" style="20" customWidth="1"/>
    <col min="6" max="6" width="66.625" style="1" customWidth="1"/>
    <col min="7" max="7" width="21.75390625" style="1" customWidth="1"/>
    <col min="8" max="8" width="18.875" style="156" customWidth="1"/>
    <col min="9" max="9" width="17.375" style="120" customWidth="1"/>
    <col min="10" max="10" width="19.375" style="1" customWidth="1"/>
    <col min="11" max="11" width="16.75390625" style="141" hidden="1" customWidth="1"/>
    <col min="12" max="12" width="18.75390625" style="1" customWidth="1"/>
    <col min="13" max="13" width="18.125" style="1" customWidth="1"/>
    <col min="14" max="14" width="23.75390625" style="1" hidden="1" customWidth="1"/>
    <col min="15" max="15" width="18.00390625" style="116" customWidth="1"/>
    <col min="16" max="16" width="21.00390625" style="19" customWidth="1"/>
    <col min="17" max="17" width="19.875" style="2" customWidth="1"/>
    <col min="18" max="18" width="19.75390625" style="2" bestFit="1" customWidth="1"/>
    <col min="19" max="19" width="18.125" style="121" customWidth="1"/>
    <col min="20" max="20" width="14.625" style="2" bestFit="1" customWidth="1"/>
    <col min="21" max="21" width="9.125" style="2" customWidth="1"/>
    <col min="22" max="22" width="14.625" style="2" bestFit="1" customWidth="1"/>
    <col min="23" max="16384" width="9.125" style="2" customWidth="1"/>
  </cols>
  <sheetData>
    <row r="1" spans="3:19" s="7" customFormat="1" ht="33.75" customHeight="1">
      <c r="C1" s="20"/>
      <c r="D1" s="20"/>
      <c r="E1" s="20"/>
      <c r="F1" s="95"/>
      <c r="G1" s="95"/>
      <c r="H1" s="155"/>
      <c r="I1" s="118"/>
      <c r="J1" s="95"/>
      <c r="K1" s="96"/>
      <c r="L1" s="199"/>
      <c r="M1" s="199"/>
      <c r="N1" s="198" t="s">
        <v>566</v>
      </c>
      <c r="O1" s="198"/>
      <c r="P1" s="198"/>
      <c r="S1" s="119"/>
    </row>
    <row r="2" spans="3:19" s="7" customFormat="1" ht="27.75" customHeight="1">
      <c r="C2" s="20"/>
      <c r="D2" s="20"/>
      <c r="E2" s="20"/>
      <c r="F2" s="95"/>
      <c r="G2" s="95"/>
      <c r="H2" s="155"/>
      <c r="I2" s="118"/>
      <c r="J2" s="95"/>
      <c r="K2" s="96"/>
      <c r="L2" s="100"/>
      <c r="M2" s="100"/>
      <c r="N2" s="100" t="s">
        <v>19</v>
      </c>
      <c r="O2" s="100" t="s">
        <v>19</v>
      </c>
      <c r="P2" s="98"/>
      <c r="S2" s="119"/>
    </row>
    <row r="3" spans="3:19" s="7" customFormat="1" ht="32.25" customHeight="1">
      <c r="C3" s="20"/>
      <c r="D3" s="20"/>
      <c r="E3" s="20"/>
      <c r="F3" s="95"/>
      <c r="G3" s="95"/>
      <c r="H3" s="155"/>
      <c r="I3" s="118"/>
      <c r="J3" s="95"/>
      <c r="K3" s="96"/>
      <c r="L3" s="100"/>
      <c r="M3" s="100"/>
      <c r="N3" s="100" t="s">
        <v>537</v>
      </c>
      <c r="O3" s="100" t="s">
        <v>625</v>
      </c>
      <c r="P3" s="97"/>
      <c r="S3" s="119"/>
    </row>
    <row r="4" spans="3:19" s="7" customFormat="1" ht="48.75" customHeight="1">
      <c r="C4" s="20"/>
      <c r="D4" s="20"/>
      <c r="E4" s="20"/>
      <c r="F4" s="209" t="s">
        <v>585</v>
      </c>
      <c r="G4" s="209"/>
      <c r="H4" s="209"/>
      <c r="I4" s="209"/>
      <c r="J4" s="209"/>
      <c r="K4" s="209"/>
      <c r="L4" s="209"/>
      <c r="M4" s="209"/>
      <c r="N4" s="209"/>
      <c r="O4" s="209"/>
      <c r="P4" s="209"/>
      <c r="S4" s="119"/>
    </row>
    <row r="5" spans="3:19" s="7" customFormat="1" ht="24" customHeight="1">
      <c r="C5" s="20"/>
      <c r="D5" s="20"/>
      <c r="E5" s="20"/>
      <c r="F5" s="183"/>
      <c r="G5" s="183"/>
      <c r="H5" s="183"/>
      <c r="I5" s="183"/>
      <c r="J5" s="183"/>
      <c r="K5" s="184"/>
      <c r="L5" s="183"/>
      <c r="M5" s="183"/>
      <c r="N5" s="183"/>
      <c r="O5" s="183"/>
      <c r="P5" s="183"/>
      <c r="S5" s="119"/>
    </row>
    <row r="6" spans="15:16" ht="19.5" thickBot="1">
      <c r="O6" s="185" t="s">
        <v>17</v>
      </c>
      <c r="P6" s="185"/>
    </row>
    <row r="7" spans="3:19" s="8" customFormat="1" ht="38.25" customHeight="1" thickBot="1">
      <c r="C7" s="177" t="s">
        <v>3</v>
      </c>
      <c r="D7" s="180" t="s">
        <v>43</v>
      </c>
      <c r="E7" s="177" t="s">
        <v>44</v>
      </c>
      <c r="F7" s="177" t="s">
        <v>4</v>
      </c>
      <c r="G7" s="194" t="s">
        <v>567</v>
      </c>
      <c r="H7" s="195"/>
      <c r="I7" s="208"/>
      <c r="J7" s="194" t="s">
        <v>18</v>
      </c>
      <c r="K7" s="195"/>
      <c r="L7" s="195"/>
      <c r="M7" s="195"/>
      <c r="N7" s="195"/>
      <c r="O7" s="195"/>
      <c r="P7" s="186" t="s">
        <v>568</v>
      </c>
      <c r="Q7" s="167" t="s">
        <v>569</v>
      </c>
      <c r="R7" s="170" t="s">
        <v>571</v>
      </c>
      <c r="S7" s="167" t="s">
        <v>570</v>
      </c>
    </row>
    <row r="8" spans="3:19" s="8" customFormat="1" ht="35.25" customHeight="1" thickBot="1">
      <c r="C8" s="178"/>
      <c r="D8" s="181"/>
      <c r="E8" s="178"/>
      <c r="F8" s="178"/>
      <c r="G8" s="200" t="s">
        <v>568</v>
      </c>
      <c r="H8" s="173" t="s">
        <v>569</v>
      </c>
      <c r="I8" s="191" t="s">
        <v>570</v>
      </c>
      <c r="J8" s="200" t="s">
        <v>568</v>
      </c>
      <c r="K8" s="200" t="s">
        <v>1</v>
      </c>
      <c r="L8" s="189" t="s">
        <v>569</v>
      </c>
      <c r="M8" s="190"/>
      <c r="N8" s="205" t="s">
        <v>2</v>
      </c>
      <c r="O8" s="173" t="s">
        <v>570</v>
      </c>
      <c r="P8" s="187"/>
      <c r="Q8" s="168"/>
      <c r="R8" s="171"/>
      <c r="S8" s="168"/>
    </row>
    <row r="9" spans="3:19" s="8" customFormat="1" ht="32.25" customHeight="1">
      <c r="C9" s="178"/>
      <c r="D9" s="181"/>
      <c r="E9" s="178"/>
      <c r="F9" s="42"/>
      <c r="G9" s="201"/>
      <c r="H9" s="174"/>
      <c r="I9" s="192"/>
      <c r="J9" s="201"/>
      <c r="K9" s="201"/>
      <c r="L9" s="196" t="s">
        <v>15</v>
      </c>
      <c r="M9" s="203" t="s">
        <v>572</v>
      </c>
      <c r="N9" s="206"/>
      <c r="O9" s="174"/>
      <c r="P9" s="187"/>
      <c r="Q9" s="168"/>
      <c r="R9" s="171"/>
      <c r="S9" s="168"/>
    </row>
    <row r="10" spans="3:19" s="8" customFormat="1" ht="83.25" customHeight="1" thickBot="1">
      <c r="C10" s="179"/>
      <c r="D10" s="182"/>
      <c r="E10" s="179"/>
      <c r="F10" s="43" t="s">
        <v>6</v>
      </c>
      <c r="G10" s="202"/>
      <c r="H10" s="175"/>
      <c r="I10" s="193"/>
      <c r="J10" s="202"/>
      <c r="K10" s="202"/>
      <c r="L10" s="197"/>
      <c r="M10" s="204"/>
      <c r="N10" s="207"/>
      <c r="O10" s="175"/>
      <c r="P10" s="188"/>
      <c r="Q10" s="169"/>
      <c r="R10" s="172"/>
      <c r="S10" s="169"/>
    </row>
    <row r="11" spans="3:19" s="8" customFormat="1" ht="17.25" customHeight="1" thickBot="1">
      <c r="C11" s="44">
        <v>1</v>
      </c>
      <c r="D11" s="114">
        <v>2</v>
      </c>
      <c r="E11" s="114">
        <v>3</v>
      </c>
      <c r="F11" s="45">
        <v>4</v>
      </c>
      <c r="G11" s="45">
        <v>5</v>
      </c>
      <c r="H11" s="46">
        <v>6</v>
      </c>
      <c r="I11" s="122">
        <v>7</v>
      </c>
      <c r="J11" s="45">
        <v>8</v>
      </c>
      <c r="K11" s="46">
        <v>11</v>
      </c>
      <c r="L11" s="45">
        <v>9</v>
      </c>
      <c r="M11" s="46">
        <v>10</v>
      </c>
      <c r="N11" s="45">
        <v>14</v>
      </c>
      <c r="O11" s="46">
        <v>11</v>
      </c>
      <c r="P11" s="47">
        <v>12</v>
      </c>
      <c r="Q11" s="44">
        <v>13</v>
      </c>
      <c r="R11" s="44">
        <v>14</v>
      </c>
      <c r="S11" s="44">
        <v>15</v>
      </c>
    </row>
    <row r="12" spans="3:19" s="6" customFormat="1" ht="42.75" customHeight="1">
      <c r="C12" s="24" t="s">
        <v>459</v>
      </c>
      <c r="D12" s="24"/>
      <c r="E12" s="24"/>
      <c r="F12" s="25" t="s">
        <v>599</v>
      </c>
      <c r="G12" s="12"/>
      <c r="H12" s="104"/>
      <c r="I12" s="123"/>
      <c r="J12" s="12"/>
      <c r="K12" s="12"/>
      <c r="L12" s="12"/>
      <c r="M12" s="12"/>
      <c r="N12" s="86"/>
      <c r="O12" s="87"/>
      <c r="P12" s="12"/>
      <c r="Q12" s="17"/>
      <c r="S12" s="30"/>
    </row>
    <row r="13" spans="3:19" s="6" customFormat="1" ht="56.25" customHeight="1">
      <c r="C13" s="24" t="s">
        <v>460</v>
      </c>
      <c r="D13" s="24"/>
      <c r="E13" s="24"/>
      <c r="F13" s="25" t="s">
        <v>600</v>
      </c>
      <c r="G13" s="12"/>
      <c r="H13" s="104"/>
      <c r="I13" s="123"/>
      <c r="J13" s="12"/>
      <c r="K13" s="12"/>
      <c r="L13" s="12"/>
      <c r="M13" s="12"/>
      <c r="N13" s="86"/>
      <c r="O13" s="87"/>
      <c r="P13" s="12"/>
      <c r="Q13" s="17"/>
      <c r="S13" s="30"/>
    </row>
    <row r="14" spans="3:19" s="38" customFormat="1" ht="35.25" customHeight="1">
      <c r="C14" s="24"/>
      <c r="D14" s="24"/>
      <c r="E14" s="24"/>
      <c r="F14" s="25" t="s">
        <v>331</v>
      </c>
      <c r="G14" s="105">
        <f>G15+G17</f>
        <v>15373.4</v>
      </c>
      <c r="H14" s="105">
        <f>H15+H17</f>
        <v>12095.5</v>
      </c>
      <c r="I14" s="124">
        <f>H14/G14*100</f>
        <v>78.67810633952152</v>
      </c>
      <c r="J14" s="105">
        <f>J15+J17</f>
        <v>68.4</v>
      </c>
      <c r="K14" s="105">
        <f>K15+K17</f>
        <v>14.39</v>
      </c>
      <c r="L14" s="105">
        <f>L15+L17</f>
        <v>43.9</v>
      </c>
      <c r="M14" s="105">
        <f>M15+M17</f>
        <v>43.9</v>
      </c>
      <c r="N14" s="49">
        <f>N15+N17</f>
        <v>25</v>
      </c>
      <c r="O14" s="125">
        <f>L14/J14*100</f>
        <v>64.1812865497076</v>
      </c>
      <c r="P14" s="105">
        <f>G14+J14</f>
        <v>15441.8</v>
      </c>
      <c r="Q14" s="115">
        <f>H14+L14</f>
        <v>12139.4</v>
      </c>
      <c r="R14" s="115">
        <f>Q14-P14</f>
        <v>-3302.3999999999996</v>
      </c>
      <c r="S14" s="126">
        <f>Q14/P14*100</f>
        <v>78.61389216283075</v>
      </c>
    </row>
    <row r="15" spans="1:19" s="14" customFormat="1" ht="108" customHeight="1">
      <c r="A15" s="14">
        <v>1</v>
      </c>
      <c r="B15" s="14">
        <v>1</v>
      </c>
      <c r="C15" s="26" t="s">
        <v>461</v>
      </c>
      <c r="D15" s="26" t="s">
        <v>142</v>
      </c>
      <c r="E15" s="26" t="s">
        <v>47</v>
      </c>
      <c r="F15" s="48" t="s">
        <v>141</v>
      </c>
      <c r="G15" s="104">
        <f>SUM(G16)</f>
        <v>15272.5</v>
      </c>
      <c r="H15" s="104">
        <f aca="true" t="shared" si="0" ref="H15:N15">SUM(H16)</f>
        <v>12054.5</v>
      </c>
      <c r="I15" s="107">
        <f aca="true" t="shared" si="1" ref="I15:I81">H15/G15*100</f>
        <v>78.92944835488623</v>
      </c>
      <c r="J15" s="104">
        <f t="shared" si="0"/>
        <v>68.4</v>
      </c>
      <c r="K15" s="104">
        <f t="shared" si="0"/>
        <v>14.39</v>
      </c>
      <c r="L15" s="104">
        <f t="shared" si="0"/>
        <v>43.9</v>
      </c>
      <c r="M15" s="104">
        <f t="shared" si="0"/>
        <v>43.9</v>
      </c>
      <c r="N15" s="12">
        <f t="shared" si="0"/>
        <v>25</v>
      </c>
      <c r="O15" s="127">
        <f>L15/J15*100</f>
        <v>64.1812865497076</v>
      </c>
      <c r="P15" s="105">
        <f aca="true" t="shared" si="2" ref="P15:P81">G15+J15</f>
        <v>15340.9</v>
      </c>
      <c r="Q15" s="115">
        <f aca="true" t="shared" si="3" ref="Q15:Q81">H15+L15</f>
        <v>12098.4</v>
      </c>
      <c r="R15" s="115">
        <f aca="true" t="shared" si="4" ref="R15:R81">Q15-P15</f>
        <v>-3242.5</v>
      </c>
      <c r="S15" s="126">
        <f aca="true" t="shared" si="5" ref="S15:S81">Q15/P15*100</f>
        <v>78.86369117848366</v>
      </c>
    </row>
    <row r="16" spans="3:19" s="30" customFormat="1" ht="48" customHeight="1">
      <c r="C16" s="26"/>
      <c r="D16" s="26"/>
      <c r="E16" s="26"/>
      <c r="F16" s="48" t="s">
        <v>143</v>
      </c>
      <c r="G16" s="106">
        <v>15272.5</v>
      </c>
      <c r="H16" s="106">
        <v>12054.5</v>
      </c>
      <c r="I16" s="107">
        <f t="shared" si="1"/>
        <v>78.92944835488623</v>
      </c>
      <c r="J16" s="104">
        <f>14.4+54</f>
        <v>68.4</v>
      </c>
      <c r="K16" s="106">
        <v>14.39</v>
      </c>
      <c r="L16" s="106">
        <v>43.9</v>
      </c>
      <c r="M16" s="106">
        <v>43.9</v>
      </c>
      <c r="N16" s="90">
        <v>25</v>
      </c>
      <c r="O16" s="127">
        <f aca="true" t="shared" si="6" ref="O16:O75">L16/J16*100</f>
        <v>64.1812865497076</v>
      </c>
      <c r="P16" s="105">
        <f t="shared" si="2"/>
        <v>15340.9</v>
      </c>
      <c r="Q16" s="115">
        <f t="shared" si="3"/>
        <v>12098.4</v>
      </c>
      <c r="R16" s="115">
        <f t="shared" si="4"/>
        <v>-3242.5</v>
      </c>
      <c r="S16" s="126">
        <f t="shared" si="5"/>
        <v>78.86369117848366</v>
      </c>
    </row>
    <row r="17" spans="3:19" s="30" customFormat="1" ht="26.25" customHeight="1">
      <c r="C17" s="26" t="s">
        <v>484</v>
      </c>
      <c r="D17" s="26" t="s">
        <v>46</v>
      </c>
      <c r="E17" s="26" t="s">
        <v>59</v>
      </c>
      <c r="F17" s="48" t="s">
        <v>485</v>
      </c>
      <c r="G17" s="106">
        <f>SUM(G18:G19)</f>
        <v>100.9</v>
      </c>
      <c r="H17" s="106">
        <f aca="true" t="shared" si="7" ref="H17:N17">SUM(H18:H19)</f>
        <v>41</v>
      </c>
      <c r="I17" s="107">
        <f t="shared" si="1"/>
        <v>40.634291377601585</v>
      </c>
      <c r="J17" s="104">
        <f>K17+N17</f>
        <v>0</v>
      </c>
      <c r="K17" s="106">
        <f t="shared" si="7"/>
        <v>0</v>
      </c>
      <c r="L17" s="106">
        <f t="shared" si="7"/>
        <v>0</v>
      </c>
      <c r="M17" s="106">
        <f t="shared" si="7"/>
        <v>0</v>
      </c>
      <c r="N17" s="28">
        <f t="shared" si="7"/>
        <v>0</v>
      </c>
      <c r="O17" s="127"/>
      <c r="P17" s="105">
        <f t="shared" si="2"/>
        <v>100.9</v>
      </c>
      <c r="Q17" s="115">
        <f t="shared" si="3"/>
        <v>41</v>
      </c>
      <c r="R17" s="115">
        <f t="shared" si="4"/>
        <v>-59.900000000000006</v>
      </c>
      <c r="S17" s="126">
        <f t="shared" si="5"/>
        <v>40.634291377601585</v>
      </c>
    </row>
    <row r="18" spans="3:19" s="30" customFormat="1" ht="69.75" customHeight="1">
      <c r="C18" s="26"/>
      <c r="D18" s="26"/>
      <c r="E18" s="26"/>
      <c r="F18" s="27" t="s">
        <v>144</v>
      </c>
      <c r="G18" s="104">
        <f>100-70</f>
        <v>30</v>
      </c>
      <c r="H18" s="104">
        <v>14.4</v>
      </c>
      <c r="I18" s="107">
        <f t="shared" si="1"/>
        <v>48.00000000000001</v>
      </c>
      <c r="J18" s="104">
        <f>K18+N18</f>
        <v>0</v>
      </c>
      <c r="K18" s="112"/>
      <c r="L18" s="104"/>
      <c r="M18" s="104"/>
      <c r="N18" s="86"/>
      <c r="O18" s="127"/>
      <c r="P18" s="105">
        <f t="shared" si="2"/>
        <v>30</v>
      </c>
      <c r="Q18" s="115">
        <f t="shared" si="3"/>
        <v>14.4</v>
      </c>
      <c r="R18" s="115">
        <f t="shared" si="4"/>
        <v>-15.6</v>
      </c>
      <c r="S18" s="126">
        <f t="shared" si="5"/>
        <v>48.00000000000001</v>
      </c>
    </row>
    <row r="19" spans="3:19" s="30" customFormat="1" ht="30" customHeight="1">
      <c r="C19" s="26"/>
      <c r="D19" s="26"/>
      <c r="E19" s="26"/>
      <c r="F19" s="27" t="s">
        <v>45</v>
      </c>
      <c r="G19" s="104">
        <v>70.9</v>
      </c>
      <c r="H19" s="104">
        <v>26.6</v>
      </c>
      <c r="I19" s="107">
        <f t="shared" si="1"/>
        <v>37.517630465444284</v>
      </c>
      <c r="J19" s="104">
        <f>K19+N19</f>
        <v>0</v>
      </c>
      <c r="K19" s="112"/>
      <c r="L19" s="104"/>
      <c r="M19" s="104"/>
      <c r="N19" s="86"/>
      <c r="O19" s="127"/>
      <c r="P19" s="105">
        <f t="shared" si="2"/>
        <v>70.9</v>
      </c>
      <c r="Q19" s="115">
        <f t="shared" si="3"/>
        <v>26.6</v>
      </c>
      <c r="R19" s="115">
        <f t="shared" si="4"/>
        <v>-44.300000000000004</v>
      </c>
      <c r="S19" s="126">
        <f t="shared" si="5"/>
        <v>37.517630465444284</v>
      </c>
    </row>
    <row r="20" spans="3:19" s="38" customFormat="1" ht="25.5" customHeight="1">
      <c r="C20" s="24"/>
      <c r="D20" s="24"/>
      <c r="E20" s="24"/>
      <c r="F20" s="25" t="s">
        <v>361</v>
      </c>
      <c r="G20" s="105">
        <f>G21+G25</f>
        <v>30.2</v>
      </c>
      <c r="H20" s="105">
        <f>H21+H25</f>
        <v>2</v>
      </c>
      <c r="I20" s="107">
        <f t="shared" si="1"/>
        <v>6.622516556291391</v>
      </c>
      <c r="J20" s="105">
        <f>J21+J25</f>
        <v>50</v>
      </c>
      <c r="K20" s="105">
        <f>K21+K25</f>
        <v>0</v>
      </c>
      <c r="L20" s="105">
        <f>L21+L25</f>
        <v>49.2</v>
      </c>
      <c r="M20" s="105">
        <f>M21+M25</f>
        <v>49.2</v>
      </c>
      <c r="N20" s="88" t="e">
        <f>#REF!+#REF!</f>
        <v>#REF!</v>
      </c>
      <c r="O20" s="127">
        <f t="shared" si="6"/>
        <v>98.4</v>
      </c>
      <c r="P20" s="105">
        <f t="shared" si="2"/>
        <v>80.2</v>
      </c>
      <c r="Q20" s="115">
        <f t="shared" si="3"/>
        <v>51.2</v>
      </c>
      <c r="R20" s="115">
        <f t="shared" si="4"/>
        <v>-29</v>
      </c>
      <c r="S20" s="126">
        <f t="shared" si="5"/>
        <v>63.84039900249376</v>
      </c>
    </row>
    <row r="21" spans="1:19" s="6" customFormat="1" ht="41.25" customHeight="1">
      <c r="A21" s="38">
        <v>11</v>
      </c>
      <c r="B21" s="6">
        <v>4</v>
      </c>
      <c r="C21" s="26" t="s">
        <v>170</v>
      </c>
      <c r="D21" s="26" t="s">
        <v>171</v>
      </c>
      <c r="E21" s="26" t="s">
        <v>173</v>
      </c>
      <c r="F21" s="31" t="s">
        <v>172</v>
      </c>
      <c r="G21" s="104"/>
      <c r="H21" s="104"/>
      <c r="I21" s="107"/>
      <c r="J21" s="104">
        <f>J22</f>
        <v>50</v>
      </c>
      <c r="K21" s="104">
        <f>K22</f>
        <v>0</v>
      </c>
      <c r="L21" s="104">
        <f>L22</f>
        <v>49.2</v>
      </c>
      <c r="M21" s="104">
        <f>M22</f>
        <v>49.2</v>
      </c>
      <c r="N21" s="86">
        <f>N22</f>
        <v>0</v>
      </c>
      <c r="O21" s="127">
        <f t="shared" si="6"/>
        <v>98.4</v>
      </c>
      <c r="P21" s="105">
        <f t="shared" si="2"/>
        <v>50</v>
      </c>
      <c r="Q21" s="115">
        <f t="shared" si="3"/>
        <v>49.2</v>
      </c>
      <c r="R21" s="115">
        <f t="shared" si="4"/>
        <v>-0.7999999999999972</v>
      </c>
      <c r="S21" s="126">
        <f t="shared" si="5"/>
        <v>98.4</v>
      </c>
    </row>
    <row r="22" spans="1:19" s="30" customFormat="1" ht="74.25" customHeight="1">
      <c r="A22" s="55"/>
      <c r="C22" s="26"/>
      <c r="D22" s="26"/>
      <c r="E22" s="26"/>
      <c r="F22" s="31" t="s">
        <v>589</v>
      </c>
      <c r="G22" s="104"/>
      <c r="H22" s="104"/>
      <c r="I22" s="107"/>
      <c r="J22" s="104">
        <v>50</v>
      </c>
      <c r="K22" s="112"/>
      <c r="L22" s="104">
        <v>49.2</v>
      </c>
      <c r="M22" s="104">
        <v>49.2</v>
      </c>
      <c r="N22" s="86"/>
      <c r="O22" s="127">
        <f t="shared" si="6"/>
        <v>98.4</v>
      </c>
      <c r="P22" s="105">
        <f t="shared" si="2"/>
        <v>50</v>
      </c>
      <c r="Q22" s="115">
        <f t="shared" si="3"/>
        <v>49.2</v>
      </c>
      <c r="R22" s="115">
        <f t="shared" si="4"/>
        <v>-0.7999999999999972</v>
      </c>
      <c r="S22" s="126">
        <f t="shared" si="5"/>
        <v>98.4</v>
      </c>
    </row>
    <row r="23" spans="3:19" s="6" customFormat="1" ht="31.5" customHeight="1" hidden="1">
      <c r="C23" s="26" t="s">
        <v>183</v>
      </c>
      <c r="D23" s="26" t="s">
        <v>184</v>
      </c>
      <c r="E23" s="26" t="s">
        <v>50</v>
      </c>
      <c r="F23" s="33" t="s">
        <v>38</v>
      </c>
      <c r="G23" s="104">
        <f>G24</f>
        <v>0</v>
      </c>
      <c r="H23" s="104">
        <f>SUM(H24:H24)</f>
        <v>0</v>
      </c>
      <c r="I23" s="107" t="e">
        <f t="shared" si="1"/>
        <v>#DIV/0!</v>
      </c>
      <c r="J23" s="104">
        <f>K23+N23</f>
        <v>0</v>
      </c>
      <c r="K23" s="104">
        <f>K24</f>
        <v>0</v>
      </c>
      <c r="L23" s="104">
        <f>L24</f>
        <v>0</v>
      </c>
      <c r="M23" s="104">
        <f>M24</f>
        <v>0</v>
      </c>
      <c r="N23" s="86">
        <f>N24</f>
        <v>0</v>
      </c>
      <c r="O23" s="127"/>
      <c r="P23" s="105">
        <f t="shared" si="2"/>
        <v>0</v>
      </c>
      <c r="Q23" s="115">
        <f t="shared" si="3"/>
        <v>0</v>
      </c>
      <c r="R23" s="115">
        <f t="shared" si="4"/>
        <v>0</v>
      </c>
      <c r="S23" s="126" t="e">
        <f t="shared" si="5"/>
        <v>#DIV/0!</v>
      </c>
    </row>
    <row r="24" spans="3:19" s="6" customFormat="1" ht="43.5" customHeight="1" hidden="1">
      <c r="C24" s="26"/>
      <c r="D24" s="26"/>
      <c r="E24" s="26"/>
      <c r="F24" s="33" t="s">
        <v>185</v>
      </c>
      <c r="G24" s="104"/>
      <c r="H24" s="104"/>
      <c r="I24" s="107" t="e">
        <f t="shared" si="1"/>
        <v>#DIV/0!</v>
      </c>
      <c r="J24" s="104">
        <f>K24+N24</f>
        <v>0</v>
      </c>
      <c r="K24" s="112"/>
      <c r="L24" s="104"/>
      <c r="M24" s="104"/>
      <c r="N24" s="86"/>
      <c r="O24" s="127"/>
      <c r="P24" s="105">
        <f t="shared" si="2"/>
        <v>0</v>
      </c>
      <c r="Q24" s="115">
        <f t="shared" si="3"/>
        <v>0</v>
      </c>
      <c r="R24" s="115">
        <f t="shared" si="4"/>
        <v>0</v>
      </c>
      <c r="S24" s="126" t="e">
        <f t="shared" si="5"/>
        <v>#DIV/0!</v>
      </c>
    </row>
    <row r="25" spans="3:19" s="6" customFormat="1" ht="43.5" customHeight="1">
      <c r="C25" s="26" t="s">
        <v>486</v>
      </c>
      <c r="D25" s="26" t="s">
        <v>487</v>
      </c>
      <c r="E25" s="26" t="s">
        <v>49</v>
      </c>
      <c r="F25" s="1" t="s">
        <v>488</v>
      </c>
      <c r="G25" s="104">
        <f>G26</f>
        <v>30.2</v>
      </c>
      <c r="H25" s="104">
        <f aca="true" t="shared" si="8" ref="H25:N25">H26</f>
        <v>2</v>
      </c>
      <c r="I25" s="107">
        <f t="shared" si="1"/>
        <v>6.622516556291391</v>
      </c>
      <c r="J25" s="104">
        <f>K25+N25</f>
        <v>0</v>
      </c>
      <c r="K25" s="104">
        <f t="shared" si="8"/>
        <v>0</v>
      </c>
      <c r="L25" s="104">
        <f t="shared" si="8"/>
        <v>0</v>
      </c>
      <c r="M25" s="104">
        <f t="shared" si="8"/>
        <v>0</v>
      </c>
      <c r="N25" s="12">
        <f t="shared" si="8"/>
        <v>0</v>
      </c>
      <c r="O25" s="127"/>
      <c r="P25" s="105">
        <f t="shared" si="2"/>
        <v>30.2</v>
      </c>
      <c r="Q25" s="115">
        <f t="shared" si="3"/>
        <v>2</v>
      </c>
      <c r="R25" s="115">
        <f t="shared" si="4"/>
        <v>-28.2</v>
      </c>
      <c r="S25" s="126">
        <f t="shared" si="5"/>
        <v>6.622516556291391</v>
      </c>
    </row>
    <row r="26" spans="3:19" s="6" customFormat="1" ht="29.25" customHeight="1">
      <c r="C26" s="26"/>
      <c r="D26" s="26"/>
      <c r="E26" s="26"/>
      <c r="F26" s="27" t="s">
        <v>489</v>
      </c>
      <c r="G26" s="104">
        <v>30.2</v>
      </c>
      <c r="H26" s="104">
        <v>2</v>
      </c>
      <c r="I26" s="107">
        <f t="shared" si="1"/>
        <v>6.622516556291391</v>
      </c>
      <c r="J26" s="104">
        <f>K26+N26</f>
        <v>0</v>
      </c>
      <c r="K26" s="112"/>
      <c r="L26" s="104"/>
      <c r="M26" s="104"/>
      <c r="N26" s="86"/>
      <c r="O26" s="127"/>
      <c r="P26" s="105">
        <f t="shared" si="2"/>
        <v>30.2</v>
      </c>
      <c r="Q26" s="115">
        <f t="shared" si="3"/>
        <v>2</v>
      </c>
      <c r="R26" s="115">
        <f t="shared" si="4"/>
        <v>-28.2</v>
      </c>
      <c r="S26" s="126">
        <f t="shared" si="5"/>
        <v>6.622516556291391</v>
      </c>
    </row>
    <row r="27" spans="3:19" s="38" customFormat="1" ht="28.5" customHeight="1">
      <c r="C27" s="24"/>
      <c r="D27" s="24"/>
      <c r="E27" s="24"/>
      <c r="F27" s="36" t="s">
        <v>325</v>
      </c>
      <c r="G27" s="105">
        <f>G31</f>
        <v>36</v>
      </c>
      <c r="H27" s="105">
        <f>H31</f>
        <v>29.5</v>
      </c>
      <c r="I27" s="107">
        <f t="shared" si="1"/>
        <v>81.94444444444444</v>
      </c>
      <c r="J27" s="105">
        <f>J28</f>
        <v>0</v>
      </c>
      <c r="K27" s="105" t="e">
        <f>K28+#REF!</f>
        <v>#REF!</v>
      </c>
      <c r="L27" s="105">
        <f>L31</f>
        <v>0</v>
      </c>
      <c r="M27" s="105">
        <f>M31</f>
        <v>0</v>
      </c>
      <c r="N27" s="88" t="e">
        <f>N28+#REF!</f>
        <v>#REF!</v>
      </c>
      <c r="O27" s="127"/>
      <c r="P27" s="105">
        <f t="shared" si="2"/>
        <v>36</v>
      </c>
      <c r="Q27" s="115">
        <f t="shared" si="3"/>
        <v>29.5</v>
      </c>
      <c r="R27" s="115">
        <f t="shared" si="4"/>
        <v>-6.5</v>
      </c>
      <c r="S27" s="126">
        <f t="shared" si="5"/>
        <v>81.94444444444444</v>
      </c>
    </row>
    <row r="28" spans="1:19" s="6" customFormat="1" ht="34.5" customHeight="1" hidden="1">
      <c r="A28" s="38">
        <v>12</v>
      </c>
      <c r="B28" s="6">
        <v>3</v>
      </c>
      <c r="C28" s="26" t="s">
        <v>174</v>
      </c>
      <c r="D28" s="26" t="s">
        <v>175</v>
      </c>
      <c r="E28" s="26" t="s">
        <v>48</v>
      </c>
      <c r="F28" s="27" t="s">
        <v>176</v>
      </c>
      <c r="G28" s="104">
        <f>G29</f>
        <v>0</v>
      </c>
      <c r="H28" s="104"/>
      <c r="I28" s="107" t="e">
        <f t="shared" si="1"/>
        <v>#DIV/0!</v>
      </c>
      <c r="J28" s="104">
        <f>J29</f>
        <v>0</v>
      </c>
      <c r="K28" s="104">
        <f>K29</f>
        <v>0</v>
      </c>
      <c r="L28" s="104">
        <f aca="true" t="shared" si="9" ref="L28:N29">L29</f>
        <v>0</v>
      </c>
      <c r="M28" s="104">
        <f t="shared" si="9"/>
        <v>0</v>
      </c>
      <c r="N28" s="86">
        <f t="shared" si="9"/>
        <v>0</v>
      </c>
      <c r="O28" s="127"/>
      <c r="P28" s="105">
        <f t="shared" si="2"/>
        <v>0</v>
      </c>
      <c r="Q28" s="115">
        <f t="shared" si="3"/>
        <v>0</v>
      </c>
      <c r="R28" s="115">
        <f t="shared" si="4"/>
        <v>0</v>
      </c>
      <c r="S28" s="126" t="e">
        <f t="shared" si="5"/>
        <v>#DIV/0!</v>
      </c>
    </row>
    <row r="29" spans="3:19" s="6" customFormat="1" ht="35.25" customHeight="1" hidden="1">
      <c r="C29" s="26" t="s">
        <v>177</v>
      </c>
      <c r="D29" s="26" t="s">
        <v>178</v>
      </c>
      <c r="E29" s="26" t="s">
        <v>48</v>
      </c>
      <c r="F29" s="34" t="s">
        <v>179</v>
      </c>
      <c r="G29" s="104">
        <f>G30</f>
        <v>0</v>
      </c>
      <c r="H29" s="104"/>
      <c r="I29" s="107" t="e">
        <f t="shared" si="1"/>
        <v>#DIV/0!</v>
      </c>
      <c r="J29" s="104">
        <f>K29+N29</f>
        <v>0</v>
      </c>
      <c r="K29" s="104">
        <f>K30</f>
        <v>0</v>
      </c>
      <c r="L29" s="104">
        <f t="shared" si="9"/>
        <v>0</v>
      </c>
      <c r="M29" s="104">
        <f t="shared" si="9"/>
        <v>0</v>
      </c>
      <c r="N29" s="86">
        <f t="shared" si="9"/>
        <v>0</v>
      </c>
      <c r="O29" s="127"/>
      <c r="P29" s="105">
        <f t="shared" si="2"/>
        <v>0</v>
      </c>
      <c r="Q29" s="115">
        <f t="shared" si="3"/>
        <v>0</v>
      </c>
      <c r="R29" s="115">
        <f t="shared" si="4"/>
        <v>0</v>
      </c>
      <c r="S29" s="126" t="e">
        <f t="shared" si="5"/>
        <v>#DIV/0!</v>
      </c>
    </row>
    <row r="30" spans="3:19" s="30" customFormat="1" ht="66" customHeight="1" hidden="1">
      <c r="C30" s="26"/>
      <c r="D30" s="26"/>
      <c r="E30" s="26"/>
      <c r="F30" s="34" t="s">
        <v>180</v>
      </c>
      <c r="G30" s="104"/>
      <c r="H30" s="104"/>
      <c r="I30" s="107" t="e">
        <f t="shared" si="1"/>
        <v>#DIV/0!</v>
      </c>
      <c r="J30" s="104"/>
      <c r="K30" s="112"/>
      <c r="L30" s="104"/>
      <c r="M30" s="104"/>
      <c r="N30" s="86"/>
      <c r="O30" s="127"/>
      <c r="P30" s="105">
        <f t="shared" si="2"/>
        <v>0</v>
      </c>
      <c r="Q30" s="115">
        <f t="shared" si="3"/>
        <v>0</v>
      </c>
      <c r="R30" s="115">
        <f t="shared" si="4"/>
        <v>0</v>
      </c>
      <c r="S30" s="126" t="e">
        <f t="shared" si="5"/>
        <v>#DIV/0!</v>
      </c>
    </row>
    <row r="31" spans="3:19" s="6" customFormat="1" ht="45" customHeight="1">
      <c r="C31" s="26" t="s">
        <v>474</v>
      </c>
      <c r="D31" s="26" t="s">
        <v>189</v>
      </c>
      <c r="E31" s="26" t="s">
        <v>98</v>
      </c>
      <c r="F31" s="34" t="s">
        <v>190</v>
      </c>
      <c r="G31" s="104">
        <f>G32</f>
        <v>36</v>
      </c>
      <c r="H31" s="104">
        <f>H32</f>
        <v>29.5</v>
      </c>
      <c r="I31" s="107">
        <f t="shared" si="1"/>
        <v>81.94444444444444</v>
      </c>
      <c r="J31" s="104">
        <f aca="true" t="shared" si="10" ref="J31:J36">K31+N31</f>
        <v>0</v>
      </c>
      <c r="K31" s="104">
        <f>K32</f>
        <v>0</v>
      </c>
      <c r="L31" s="104">
        <f>L32</f>
        <v>0</v>
      </c>
      <c r="M31" s="104">
        <f>M32</f>
        <v>0</v>
      </c>
      <c r="N31" s="86">
        <f>N32</f>
        <v>0</v>
      </c>
      <c r="O31" s="127"/>
      <c r="P31" s="105">
        <f t="shared" si="2"/>
        <v>36</v>
      </c>
      <c r="Q31" s="115">
        <f t="shared" si="3"/>
        <v>29.5</v>
      </c>
      <c r="R31" s="115">
        <f t="shared" si="4"/>
        <v>-6.5</v>
      </c>
      <c r="S31" s="126">
        <f t="shared" si="5"/>
        <v>81.94444444444444</v>
      </c>
    </row>
    <row r="32" spans="3:19" s="6" customFormat="1" ht="46.5" customHeight="1">
      <c r="C32" s="26"/>
      <c r="D32" s="26"/>
      <c r="E32" s="26"/>
      <c r="F32" s="34" t="s">
        <v>490</v>
      </c>
      <c r="G32" s="104">
        <v>36</v>
      </c>
      <c r="H32" s="104">
        <v>29.5</v>
      </c>
      <c r="I32" s="107">
        <f t="shared" si="1"/>
        <v>81.94444444444444</v>
      </c>
      <c r="J32" s="104">
        <f t="shared" si="10"/>
        <v>0</v>
      </c>
      <c r="K32" s="112"/>
      <c r="L32" s="104"/>
      <c r="M32" s="104"/>
      <c r="N32" s="86"/>
      <c r="O32" s="127"/>
      <c r="P32" s="105">
        <f t="shared" si="2"/>
        <v>36</v>
      </c>
      <c r="Q32" s="115">
        <f t="shared" si="3"/>
        <v>29.5</v>
      </c>
      <c r="R32" s="115">
        <f t="shared" si="4"/>
        <v>-6.5</v>
      </c>
      <c r="S32" s="126">
        <f t="shared" si="5"/>
        <v>81.94444444444444</v>
      </c>
    </row>
    <row r="33" spans="3:19" s="38" customFormat="1" ht="46.5" customHeight="1" hidden="1">
      <c r="C33" s="24" t="s">
        <v>333</v>
      </c>
      <c r="D33" s="24" t="s">
        <v>326</v>
      </c>
      <c r="E33" s="24"/>
      <c r="F33" s="36" t="s">
        <v>327</v>
      </c>
      <c r="G33" s="105">
        <f>G34</f>
        <v>0</v>
      </c>
      <c r="H33" s="105">
        <f aca="true" t="shared" si="11" ref="H33:N33">H34</f>
        <v>0</v>
      </c>
      <c r="I33" s="107" t="e">
        <f t="shared" si="1"/>
        <v>#DIV/0!</v>
      </c>
      <c r="J33" s="105">
        <f t="shared" si="10"/>
        <v>0</v>
      </c>
      <c r="K33" s="105">
        <f t="shared" si="11"/>
        <v>0</v>
      </c>
      <c r="L33" s="105">
        <f t="shared" si="11"/>
        <v>0</v>
      </c>
      <c r="M33" s="105">
        <f t="shared" si="11"/>
        <v>0</v>
      </c>
      <c r="N33" s="88">
        <f t="shared" si="11"/>
        <v>0</v>
      </c>
      <c r="O33" s="127" t="e">
        <f t="shared" si="6"/>
        <v>#DIV/0!</v>
      </c>
      <c r="P33" s="105">
        <f t="shared" si="2"/>
        <v>0</v>
      </c>
      <c r="Q33" s="115">
        <f t="shared" si="3"/>
        <v>0</v>
      </c>
      <c r="R33" s="115">
        <f t="shared" si="4"/>
        <v>0</v>
      </c>
      <c r="S33" s="126" t="e">
        <f t="shared" si="5"/>
        <v>#DIV/0!</v>
      </c>
    </row>
    <row r="34" spans="3:19" s="14" customFormat="1" ht="39" customHeight="1" hidden="1">
      <c r="C34" s="26" t="s">
        <v>186</v>
      </c>
      <c r="D34" s="26" t="s">
        <v>187</v>
      </c>
      <c r="E34" s="26" t="s">
        <v>46</v>
      </c>
      <c r="F34" s="32" t="s">
        <v>188</v>
      </c>
      <c r="G34" s="104">
        <f>SUM(G35:G36)</f>
        <v>0</v>
      </c>
      <c r="H34" s="104">
        <f aca="true" t="shared" si="12" ref="H34:N34">SUM(H35:H36)</f>
        <v>0</v>
      </c>
      <c r="I34" s="107" t="e">
        <f t="shared" si="1"/>
        <v>#DIV/0!</v>
      </c>
      <c r="J34" s="104">
        <f t="shared" si="10"/>
        <v>0</v>
      </c>
      <c r="K34" s="104">
        <f t="shared" si="12"/>
        <v>0</v>
      </c>
      <c r="L34" s="104">
        <f t="shared" si="12"/>
        <v>0</v>
      </c>
      <c r="M34" s="104">
        <f t="shared" si="12"/>
        <v>0</v>
      </c>
      <c r="N34" s="86">
        <f t="shared" si="12"/>
        <v>0</v>
      </c>
      <c r="O34" s="127" t="e">
        <f t="shared" si="6"/>
        <v>#DIV/0!</v>
      </c>
      <c r="P34" s="105">
        <f t="shared" si="2"/>
        <v>0</v>
      </c>
      <c r="Q34" s="115">
        <f t="shared" si="3"/>
        <v>0</v>
      </c>
      <c r="R34" s="115">
        <f t="shared" si="4"/>
        <v>0</v>
      </c>
      <c r="S34" s="126" t="e">
        <f t="shared" si="5"/>
        <v>#DIV/0!</v>
      </c>
    </row>
    <row r="35" spans="3:19" s="14" customFormat="1" ht="63" customHeight="1" hidden="1">
      <c r="C35" s="26"/>
      <c r="D35" s="26"/>
      <c r="E35" s="26"/>
      <c r="F35" s="32" t="s">
        <v>134</v>
      </c>
      <c r="G35" s="108"/>
      <c r="H35" s="108"/>
      <c r="I35" s="107" t="e">
        <f t="shared" si="1"/>
        <v>#DIV/0!</v>
      </c>
      <c r="J35" s="104">
        <f t="shared" si="10"/>
        <v>0</v>
      </c>
      <c r="K35" s="108"/>
      <c r="L35" s="108"/>
      <c r="M35" s="108"/>
      <c r="N35" s="86"/>
      <c r="O35" s="127" t="e">
        <f t="shared" si="6"/>
        <v>#DIV/0!</v>
      </c>
      <c r="P35" s="105">
        <f t="shared" si="2"/>
        <v>0</v>
      </c>
      <c r="Q35" s="115">
        <f t="shared" si="3"/>
        <v>0</v>
      </c>
      <c r="R35" s="115">
        <f t="shared" si="4"/>
        <v>0</v>
      </c>
      <c r="S35" s="126" t="e">
        <f t="shared" si="5"/>
        <v>#DIV/0!</v>
      </c>
    </row>
    <row r="36" spans="3:19" s="14" customFormat="1" ht="39.75" customHeight="1" hidden="1">
      <c r="C36" s="26"/>
      <c r="D36" s="26"/>
      <c r="E36" s="26"/>
      <c r="F36" s="32" t="s">
        <v>105</v>
      </c>
      <c r="G36" s="108"/>
      <c r="H36" s="108"/>
      <c r="I36" s="107" t="e">
        <f t="shared" si="1"/>
        <v>#DIV/0!</v>
      </c>
      <c r="J36" s="104">
        <f t="shared" si="10"/>
        <v>0</v>
      </c>
      <c r="K36" s="104"/>
      <c r="L36" s="104"/>
      <c r="M36" s="104"/>
      <c r="N36" s="86"/>
      <c r="O36" s="127" t="e">
        <f t="shared" si="6"/>
        <v>#DIV/0!</v>
      </c>
      <c r="P36" s="105">
        <f t="shared" si="2"/>
        <v>0</v>
      </c>
      <c r="Q36" s="115">
        <f t="shared" si="3"/>
        <v>0</v>
      </c>
      <c r="R36" s="115">
        <f t="shared" si="4"/>
        <v>0</v>
      </c>
      <c r="S36" s="126" t="e">
        <f t="shared" si="5"/>
        <v>#DIV/0!</v>
      </c>
    </row>
    <row r="37" spans="3:19" s="16" customFormat="1" ht="31.5" customHeight="1">
      <c r="C37" s="71"/>
      <c r="D37" s="71"/>
      <c r="E37" s="71"/>
      <c r="F37" s="72" t="s">
        <v>9</v>
      </c>
      <c r="G37" s="109">
        <f>G14+G20+G27+G33</f>
        <v>15439.6</v>
      </c>
      <c r="H37" s="109">
        <f>H14+H20+H27+H33</f>
        <v>12127</v>
      </c>
      <c r="I37" s="107">
        <f t="shared" si="1"/>
        <v>78.54478095287443</v>
      </c>
      <c r="J37" s="109">
        <f>J14+J20+J27+J33</f>
        <v>118.4</v>
      </c>
      <c r="K37" s="109" t="e">
        <f>K14+K20+K27+K33</f>
        <v>#REF!</v>
      </c>
      <c r="L37" s="109">
        <f>L14+L20+L27+L33</f>
        <v>93.1</v>
      </c>
      <c r="M37" s="109">
        <f>M14+M20+M27+M33</f>
        <v>93.1</v>
      </c>
      <c r="N37" s="89" t="e">
        <f>N14+N20+N27+N33</f>
        <v>#REF!</v>
      </c>
      <c r="O37" s="127">
        <f t="shared" si="6"/>
        <v>78.63175675675674</v>
      </c>
      <c r="P37" s="105">
        <f t="shared" si="2"/>
        <v>15558</v>
      </c>
      <c r="Q37" s="115">
        <f t="shared" si="3"/>
        <v>12220.1</v>
      </c>
      <c r="R37" s="115">
        <f t="shared" si="4"/>
        <v>-3337.8999999999996</v>
      </c>
      <c r="S37" s="126">
        <f t="shared" si="5"/>
        <v>78.54544285897931</v>
      </c>
    </row>
    <row r="38" spans="3:19" s="6" customFormat="1" ht="45.75" customHeight="1">
      <c r="C38" s="24" t="s">
        <v>146</v>
      </c>
      <c r="D38" s="24"/>
      <c r="E38" s="24"/>
      <c r="F38" s="25" t="s">
        <v>601</v>
      </c>
      <c r="G38" s="104"/>
      <c r="H38" s="104"/>
      <c r="I38" s="107"/>
      <c r="J38" s="104"/>
      <c r="K38" s="104"/>
      <c r="L38" s="104"/>
      <c r="M38" s="104"/>
      <c r="N38" s="86"/>
      <c r="O38" s="127"/>
      <c r="P38" s="105"/>
      <c r="Q38" s="115"/>
      <c r="R38" s="115"/>
      <c r="S38" s="126"/>
    </row>
    <row r="39" spans="3:19" s="6" customFormat="1" ht="45.75" customHeight="1">
      <c r="C39" s="24" t="s">
        <v>147</v>
      </c>
      <c r="D39" s="24"/>
      <c r="E39" s="24"/>
      <c r="F39" s="25" t="s">
        <v>602</v>
      </c>
      <c r="G39" s="104"/>
      <c r="H39" s="104"/>
      <c r="I39" s="107"/>
      <c r="J39" s="104"/>
      <c r="K39" s="104"/>
      <c r="L39" s="104"/>
      <c r="M39" s="104"/>
      <c r="N39" s="86"/>
      <c r="O39" s="127"/>
      <c r="P39" s="105"/>
      <c r="Q39" s="115"/>
      <c r="R39" s="115"/>
      <c r="S39" s="126"/>
    </row>
    <row r="40" spans="3:19" s="38" customFormat="1" ht="24" customHeight="1">
      <c r="C40" s="24"/>
      <c r="D40" s="24"/>
      <c r="E40" s="24"/>
      <c r="F40" s="25" t="s">
        <v>331</v>
      </c>
      <c r="G40" s="105">
        <f>G41</f>
        <v>2497.5</v>
      </c>
      <c r="H40" s="105">
        <f aca="true" t="shared" si="13" ref="H40:N41">H41</f>
        <v>1931.7</v>
      </c>
      <c r="I40" s="107">
        <f t="shared" si="1"/>
        <v>77.34534534534535</v>
      </c>
      <c r="J40" s="105">
        <f>J41</f>
        <v>15</v>
      </c>
      <c r="K40" s="105">
        <f>K41</f>
        <v>0</v>
      </c>
      <c r="L40" s="105">
        <f>L41</f>
        <v>15</v>
      </c>
      <c r="M40" s="105">
        <f>M41</f>
        <v>15</v>
      </c>
      <c r="N40" s="88">
        <f t="shared" si="13"/>
        <v>0</v>
      </c>
      <c r="O40" s="127">
        <f t="shared" si="6"/>
        <v>100</v>
      </c>
      <c r="P40" s="105">
        <f t="shared" si="2"/>
        <v>2512.5</v>
      </c>
      <c r="Q40" s="115">
        <f t="shared" si="3"/>
        <v>1946.7</v>
      </c>
      <c r="R40" s="115">
        <f t="shared" si="4"/>
        <v>-565.8</v>
      </c>
      <c r="S40" s="126">
        <f t="shared" si="5"/>
        <v>77.48059701492538</v>
      </c>
    </row>
    <row r="41" spans="1:19" s="6" customFormat="1" ht="63" customHeight="1">
      <c r="A41" s="6">
        <v>2</v>
      </c>
      <c r="B41" s="6">
        <v>7</v>
      </c>
      <c r="C41" s="26" t="s">
        <v>148</v>
      </c>
      <c r="D41" s="26" t="s">
        <v>51</v>
      </c>
      <c r="E41" s="26" t="s">
        <v>47</v>
      </c>
      <c r="F41" s="34" t="s">
        <v>153</v>
      </c>
      <c r="G41" s="104">
        <f>G42</f>
        <v>2497.5</v>
      </c>
      <c r="H41" s="104">
        <f t="shared" si="13"/>
        <v>1931.7</v>
      </c>
      <c r="I41" s="107">
        <f t="shared" si="1"/>
        <v>77.34534534534535</v>
      </c>
      <c r="J41" s="104">
        <f>J42</f>
        <v>15</v>
      </c>
      <c r="K41" s="104">
        <f t="shared" si="13"/>
        <v>0</v>
      </c>
      <c r="L41" s="104">
        <f t="shared" si="13"/>
        <v>15</v>
      </c>
      <c r="M41" s="104">
        <f t="shared" si="13"/>
        <v>15</v>
      </c>
      <c r="N41" s="86">
        <f t="shared" si="13"/>
        <v>0</v>
      </c>
      <c r="O41" s="127">
        <f t="shared" si="6"/>
        <v>100</v>
      </c>
      <c r="P41" s="105">
        <f t="shared" si="2"/>
        <v>2512.5</v>
      </c>
      <c r="Q41" s="115">
        <f t="shared" si="3"/>
        <v>1946.7</v>
      </c>
      <c r="R41" s="115">
        <f t="shared" si="4"/>
        <v>-565.8</v>
      </c>
      <c r="S41" s="126">
        <f t="shared" si="5"/>
        <v>77.48059701492538</v>
      </c>
    </row>
    <row r="42" spans="3:19" s="30" customFormat="1" ht="41.25" customHeight="1">
      <c r="C42" s="26"/>
      <c r="D42" s="26"/>
      <c r="E42" s="26"/>
      <c r="F42" s="34" t="s">
        <v>475</v>
      </c>
      <c r="G42" s="106">
        <v>2497.5</v>
      </c>
      <c r="H42" s="106">
        <v>1931.7</v>
      </c>
      <c r="I42" s="107">
        <f t="shared" si="1"/>
        <v>77.34534534534535</v>
      </c>
      <c r="J42" s="104">
        <v>15</v>
      </c>
      <c r="K42" s="106"/>
      <c r="L42" s="106">
        <v>15</v>
      </c>
      <c r="M42" s="106">
        <v>15</v>
      </c>
      <c r="N42" s="90"/>
      <c r="O42" s="127">
        <f t="shared" si="6"/>
        <v>100</v>
      </c>
      <c r="P42" s="105">
        <f t="shared" si="2"/>
        <v>2512.5</v>
      </c>
      <c r="Q42" s="115">
        <f t="shared" si="3"/>
        <v>1946.7</v>
      </c>
      <c r="R42" s="115">
        <f t="shared" si="4"/>
        <v>-565.8</v>
      </c>
      <c r="S42" s="126">
        <f t="shared" si="5"/>
        <v>77.48059701492538</v>
      </c>
    </row>
    <row r="43" spans="3:19" s="38" customFormat="1" ht="27.75" customHeight="1">
      <c r="C43" s="24"/>
      <c r="D43" s="24"/>
      <c r="E43" s="24"/>
      <c r="F43" s="36" t="s">
        <v>292</v>
      </c>
      <c r="G43" s="105">
        <f>G44+G48+G59+G60+G63+G67</f>
        <v>144463.89999999997</v>
      </c>
      <c r="H43" s="105">
        <f>H44+H48+H59+H60+H63+H67</f>
        <v>102240</v>
      </c>
      <c r="I43" s="107">
        <f t="shared" si="1"/>
        <v>70.77200601672807</v>
      </c>
      <c r="J43" s="105">
        <f>J44+J48+J59+J60+J63+J67</f>
        <v>8909.600000000002</v>
      </c>
      <c r="K43" s="105">
        <f>K44+K48+K59+K60+K63+K67</f>
        <v>7748.45366</v>
      </c>
      <c r="L43" s="105">
        <f>L44+L48+L59+L60+L63+L67</f>
        <v>6350.7</v>
      </c>
      <c r="M43" s="105">
        <f>M44+M48+M59+M60+M63+M67</f>
        <v>637.1999999999999</v>
      </c>
      <c r="N43" s="49" t="e">
        <f>N44+N48+N59+N60+#REF!</f>
        <v>#REF!</v>
      </c>
      <c r="O43" s="127">
        <f t="shared" si="6"/>
        <v>71.27929424441051</v>
      </c>
      <c r="P43" s="105">
        <f t="shared" si="2"/>
        <v>153373.49999999997</v>
      </c>
      <c r="Q43" s="115">
        <f t="shared" si="3"/>
        <v>108590.7</v>
      </c>
      <c r="R43" s="115">
        <f t="shared" si="4"/>
        <v>-44782.799999999974</v>
      </c>
      <c r="S43" s="126">
        <f t="shared" si="5"/>
        <v>70.8014748310497</v>
      </c>
    </row>
    <row r="44" spans="3:19" s="6" customFormat="1" ht="27" customHeight="1">
      <c r="C44" s="26" t="s">
        <v>191</v>
      </c>
      <c r="D44" s="26" t="s">
        <v>52</v>
      </c>
      <c r="E44" s="26" t="s">
        <v>53</v>
      </c>
      <c r="F44" s="27" t="s">
        <v>192</v>
      </c>
      <c r="G44" s="104">
        <f>SUM(G45:G47)</f>
        <v>50834</v>
      </c>
      <c r="H44" s="106">
        <f>SUM(H45:H47)</f>
        <v>34946.4</v>
      </c>
      <c r="I44" s="107">
        <f t="shared" si="1"/>
        <v>68.74611480505173</v>
      </c>
      <c r="J44" s="106">
        <f>SUM(J45:J47)</f>
        <v>4898.1</v>
      </c>
      <c r="K44" s="106">
        <f>SUM(K45:K47)</f>
        <v>4604.58357</v>
      </c>
      <c r="L44" s="106">
        <f>SUM(L45:L47)</f>
        <v>3498.4</v>
      </c>
      <c r="M44" s="106">
        <f>SUM(M45:M47)</f>
        <v>25</v>
      </c>
      <c r="N44" s="86">
        <f>SUM(N45:N47)</f>
        <v>12.7</v>
      </c>
      <c r="O44" s="127">
        <f t="shared" si="6"/>
        <v>71.42361323778607</v>
      </c>
      <c r="P44" s="105">
        <f t="shared" si="2"/>
        <v>55732.1</v>
      </c>
      <c r="Q44" s="115">
        <f t="shared" si="3"/>
        <v>38444.8</v>
      </c>
      <c r="R44" s="115">
        <f t="shared" si="4"/>
        <v>-17287.299999999996</v>
      </c>
      <c r="S44" s="126">
        <f t="shared" si="5"/>
        <v>68.98143080917461</v>
      </c>
    </row>
    <row r="45" spans="1:19" s="30" customFormat="1" ht="25.5" customHeight="1">
      <c r="A45" s="30">
        <v>1</v>
      </c>
      <c r="B45" s="30">
        <v>8</v>
      </c>
      <c r="C45" s="26"/>
      <c r="D45" s="26"/>
      <c r="E45" s="26"/>
      <c r="F45" s="27" t="s">
        <v>39</v>
      </c>
      <c r="G45" s="143">
        <v>50785.9</v>
      </c>
      <c r="H45" s="104">
        <v>34917</v>
      </c>
      <c r="I45" s="107">
        <f t="shared" si="1"/>
        <v>68.75333507922474</v>
      </c>
      <c r="J45" s="104">
        <f>4428.2+436.8+10.3</f>
        <v>4875.3</v>
      </c>
      <c r="K45" s="142">
        <f>4415.7521+188.83147</f>
        <v>4604.58357</v>
      </c>
      <c r="L45" s="104">
        <f>3038.6+434.8+10.2</f>
        <v>3483.6</v>
      </c>
      <c r="M45" s="104">
        <v>10.2</v>
      </c>
      <c r="N45" s="90">
        <v>6.2</v>
      </c>
      <c r="O45" s="127">
        <f t="shared" si="6"/>
        <v>71.45406436526982</v>
      </c>
      <c r="P45" s="105">
        <f t="shared" si="2"/>
        <v>55661.200000000004</v>
      </c>
      <c r="Q45" s="115">
        <f t="shared" si="3"/>
        <v>38400.6</v>
      </c>
      <c r="R45" s="115">
        <f t="shared" si="4"/>
        <v>-17260.600000000006</v>
      </c>
      <c r="S45" s="126">
        <f t="shared" si="5"/>
        <v>68.98988882740579</v>
      </c>
    </row>
    <row r="46" spans="3:19" s="30" customFormat="1" ht="79.5" customHeight="1" hidden="1">
      <c r="C46" s="26"/>
      <c r="D46" s="26"/>
      <c r="E46" s="26"/>
      <c r="F46" s="27" t="s">
        <v>40</v>
      </c>
      <c r="G46" s="143"/>
      <c r="H46" s="104"/>
      <c r="I46" s="107" t="e">
        <f t="shared" si="1"/>
        <v>#DIV/0!</v>
      </c>
      <c r="J46" s="104">
        <f>K46+N46</f>
        <v>0</v>
      </c>
      <c r="K46" s="142"/>
      <c r="L46" s="104"/>
      <c r="M46" s="104"/>
      <c r="N46" s="90"/>
      <c r="O46" s="127" t="e">
        <f t="shared" si="6"/>
        <v>#DIV/0!</v>
      </c>
      <c r="P46" s="105">
        <f t="shared" si="2"/>
        <v>0</v>
      </c>
      <c r="Q46" s="115">
        <f t="shared" si="3"/>
        <v>0</v>
      </c>
      <c r="R46" s="115">
        <f t="shared" si="4"/>
        <v>0</v>
      </c>
      <c r="S46" s="126" t="e">
        <f t="shared" si="5"/>
        <v>#DIV/0!</v>
      </c>
    </row>
    <row r="47" spans="3:19" s="30" customFormat="1" ht="45" customHeight="1">
      <c r="C47" s="26"/>
      <c r="D47" s="26"/>
      <c r="E47" s="26"/>
      <c r="F47" s="27" t="s">
        <v>505</v>
      </c>
      <c r="G47" s="143">
        <v>48.1</v>
      </c>
      <c r="H47" s="104">
        <v>29.4</v>
      </c>
      <c r="I47" s="107">
        <f t="shared" si="1"/>
        <v>61.122661122661114</v>
      </c>
      <c r="J47" s="104">
        <v>22.8</v>
      </c>
      <c r="K47" s="142"/>
      <c r="L47" s="104">
        <v>14.8</v>
      </c>
      <c r="M47" s="104">
        <v>14.8</v>
      </c>
      <c r="N47" s="90">
        <v>6.5</v>
      </c>
      <c r="O47" s="127">
        <f t="shared" si="6"/>
        <v>64.91228070175438</v>
      </c>
      <c r="P47" s="105">
        <f t="shared" si="2"/>
        <v>70.9</v>
      </c>
      <c r="Q47" s="115">
        <f t="shared" si="3"/>
        <v>44.2</v>
      </c>
      <c r="R47" s="115">
        <f t="shared" si="4"/>
        <v>-26.700000000000003</v>
      </c>
      <c r="S47" s="126">
        <f t="shared" si="5"/>
        <v>62.34132581100141</v>
      </c>
    </row>
    <row r="48" spans="1:19" s="14" customFormat="1" ht="99.75" customHeight="1">
      <c r="A48" s="14">
        <v>2</v>
      </c>
      <c r="B48" s="14">
        <v>9</v>
      </c>
      <c r="C48" s="26" t="s">
        <v>193</v>
      </c>
      <c r="D48" s="26" t="s">
        <v>54</v>
      </c>
      <c r="E48" s="26" t="s">
        <v>55</v>
      </c>
      <c r="F48" s="34" t="s">
        <v>376</v>
      </c>
      <c r="G48" s="104">
        <f>SUM(G49:G58)</f>
        <v>77707.49999999999</v>
      </c>
      <c r="H48" s="104">
        <f>SUM(H49:H58)</f>
        <v>56632.09999999999</v>
      </c>
      <c r="I48" s="107">
        <f t="shared" si="1"/>
        <v>72.87855097641798</v>
      </c>
      <c r="J48" s="104">
        <f>SUM(J49:J58)</f>
        <v>3668.4</v>
      </c>
      <c r="K48" s="104">
        <f>SUM(K49:K58)</f>
        <v>3079.34409</v>
      </c>
      <c r="L48" s="104">
        <f>SUM(L49:L58)</f>
        <v>2518</v>
      </c>
      <c r="M48" s="104">
        <f>SUM(M49:M58)</f>
        <v>353.7</v>
      </c>
      <c r="N48" s="86">
        <f>SUM(N49:N58)</f>
        <v>124.0475</v>
      </c>
      <c r="O48" s="127">
        <f t="shared" si="6"/>
        <v>68.6402791407698</v>
      </c>
      <c r="P48" s="105">
        <f t="shared" si="2"/>
        <v>81375.89999999998</v>
      </c>
      <c r="Q48" s="115">
        <f t="shared" si="3"/>
        <v>59150.09999999999</v>
      </c>
      <c r="R48" s="115">
        <f t="shared" si="4"/>
        <v>-22225.79999999999</v>
      </c>
      <c r="S48" s="126">
        <f t="shared" si="5"/>
        <v>72.68749101392427</v>
      </c>
    </row>
    <row r="49" spans="3:19" s="15" customFormat="1" ht="27.75" customHeight="1">
      <c r="C49" s="26"/>
      <c r="D49" s="26"/>
      <c r="E49" s="26"/>
      <c r="F49" s="34" t="s">
        <v>603</v>
      </c>
      <c r="G49" s="104">
        <f>36989-1.9</f>
        <v>36987.1</v>
      </c>
      <c r="H49" s="104">
        <v>28208.2</v>
      </c>
      <c r="I49" s="107">
        <f t="shared" si="1"/>
        <v>76.26496805643049</v>
      </c>
      <c r="J49" s="104">
        <f>K49+N49</f>
        <v>0</v>
      </c>
      <c r="K49" s="106"/>
      <c r="L49" s="106"/>
      <c r="M49" s="106"/>
      <c r="N49" s="90"/>
      <c r="O49" s="127"/>
      <c r="P49" s="105">
        <f t="shared" si="2"/>
        <v>36987.1</v>
      </c>
      <c r="Q49" s="115">
        <f t="shared" si="3"/>
        <v>28208.2</v>
      </c>
      <c r="R49" s="115">
        <f t="shared" si="4"/>
        <v>-8778.899999999998</v>
      </c>
      <c r="S49" s="126">
        <f t="shared" si="5"/>
        <v>76.26496805643049</v>
      </c>
    </row>
    <row r="50" spans="3:19" s="15" customFormat="1" ht="27" customHeight="1">
      <c r="C50" s="26"/>
      <c r="D50" s="26"/>
      <c r="E50" s="26"/>
      <c r="F50" s="34" t="s">
        <v>476</v>
      </c>
      <c r="G50" s="104">
        <f>39677-272.4</f>
        <v>39404.6</v>
      </c>
      <c r="H50" s="104">
        <v>27713.5</v>
      </c>
      <c r="I50" s="107">
        <f t="shared" si="1"/>
        <v>70.33062129802104</v>
      </c>
      <c r="J50" s="104">
        <f>3113+171.7+192.1-82.8</f>
        <v>3393.9999999999995</v>
      </c>
      <c r="K50" s="106">
        <f>3020.10205+59.24204</f>
        <v>3079.34409</v>
      </c>
      <c r="L50" s="106">
        <f>1992.6+171.7+162.1-82.8</f>
        <v>2243.5999999999995</v>
      </c>
      <c r="M50" s="106">
        <f>162.1-82.8</f>
        <v>79.3</v>
      </c>
      <c r="N50" s="90">
        <v>100</v>
      </c>
      <c r="O50" s="127">
        <f t="shared" si="6"/>
        <v>66.10489098408956</v>
      </c>
      <c r="P50" s="105">
        <f t="shared" si="2"/>
        <v>42798.6</v>
      </c>
      <c r="Q50" s="115">
        <f t="shared" si="3"/>
        <v>29957.1</v>
      </c>
      <c r="R50" s="115">
        <f t="shared" si="4"/>
        <v>-12841.5</v>
      </c>
      <c r="S50" s="126">
        <f t="shared" si="5"/>
        <v>69.99551387194907</v>
      </c>
    </row>
    <row r="51" spans="3:19" s="15" customFormat="1" ht="45.75" customHeight="1">
      <c r="C51" s="26"/>
      <c r="D51" s="26"/>
      <c r="E51" s="26"/>
      <c r="F51" s="34" t="s">
        <v>559</v>
      </c>
      <c r="G51" s="104">
        <v>1.9</v>
      </c>
      <c r="H51" s="104"/>
      <c r="I51" s="107">
        <f t="shared" si="1"/>
        <v>0</v>
      </c>
      <c r="J51" s="104">
        <f>K51+N51</f>
        <v>0</v>
      </c>
      <c r="K51" s="106"/>
      <c r="L51" s="106"/>
      <c r="M51" s="106"/>
      <c r="N51" s="28"/>
      <c r="O51" s="127"/>
      <c r="P51" s="105">
        <f t="shared" si="2"/>
        <v>1.9</v>
      </c>
      <c r="Q51" s="115">
        <f t="shared" si="3"/>
        <v>0</v>
      </c>
      <c r="R51" s="115">
        <f t="shared" si="4"/>
        <v>-1.9</v>
      </c>
      <c r="S51" s="126">
        <f t="shared" si="5"/>
        <v>0</v>
      </c>
    </row>
    <row r="52" spans="3:19" s="15" customFormat="1" ht="62.25" customHeight="1">
      <c r="C52" s="26"/>
      <c r="D52" s="26"/>
      <c r="E52" s="26"/>
      <c r="F52" s="34" t="s">
        <v>574</v>
      </c>
      <c r="G52" s="104"/>
      <c r="H52" s="104"/>
      <c r="I52" s="107" t="e">
        <f t="shared" si="1"/>
        <v>#DIV/0!</v>
      </c>
      <c r="J52" s="104">
        <v>102.8</v>
      </c>
      <c r="K52" s="106"/>
      <c r="L52" s="106">
        <v>102.8</v>
      </c>
      <c r="M52" s="106">
        <v>102.8</v>
      </c>
      <c r="N52" s="90"/>
      <c r="O52" s="127">
        <f t="shared" si="6"/>
        <v>100</v>
      </c>
      <c r="P52" s="105">
        <f t="shared" si="2"/>
        <v>102.8</v>
      </c>
      <c r="Q52" s="115">
        <f t="shared" si="3"/>
        <v>102.8</v>
      </c>
      <c r="R52" s="115">
        <f t="shared" si="4"/>
        <v>0</v>
      </c>
      <c r="S52" s="126">
        <f t="shared" si="5"/>
        <v>100</v>
      </c>
    </row>
    <row r="53" spans="3:19" s="15" customFormat="1" ht="94.5">
      <c r="C53" s="26"/>
      <c r="D53" s="26"/>
      <c r="E53" s="26"/>
      <c r="F53" s="34" t="s">
        <v>575</v>
      </c>
      <c r="G53" s="104"/>
      <c r="H53" s="104"/>
      <c r="I53" s="107" t="e">
        <f t="shared" si="1"/>
        <v>#DIV/0!</v>
      </c>
      <c r="J53" s="104">
        <v>82.8</v>
      </c>
      <c r="K53" s="106"/>
      <c r="L53" s="106">
        <v>82.8</v>
      </c>
      <c r="M53" s="106">
        <v>82.8</v>
      </c>
      <c r="N53" s="90"/>
      <c r="O53" s="127">
        <f t="shared" si="6"/>
        <v>100</v>
      </c>
      <c r="P53" s="105">
        <f t="shared" si="2"/>
        <v>82.8</v>
      </c>
      <c r="Q53" s="115">
        <f>H53+L53</f>
        <v>82.8</v>
      </c>
      <c r="R53" s="115">
        <f>Q53-P53</f>
        <v>0</v>
      </c>
      <c r="S53" s="126">
        <f>Q53/P53*100</f>
        <v>100</v>
      </c>
    </row>
    <row r="54" spans="3:19" s="15" customFormat="1" ht="61.5" customHeight="1">
      <c r="C54" s="26"/>
      <c r="D54" s="26"/>
      <c r="E54" s="26"/>
      <c r="F54" s="34" t="s">
        <v>576</v>
      </c>
      <c r="G54" s="104">
        <v>242.2</v>
      </c>
      <c r="H54" s="104">
        <v>31.7</v>
      </c>
      <c r="I54" s="107">
        <f t="shared" si="1"/>
        <v>13.088356729975228</v>
      </c>
      <c r="J54" s="104">
        <f>K54+N54</f>
        <v>0</v>
      </c>
      <c r="K54" s="106"/>
      <c r="L54" s="106"/>
      <c r="M54" s="106"/>
      <c r="N54" s="90"/>
      <c r="O54" s="127"/>
      <c r="P54" s="105">
        <f t="shared" si="2"/>
        <v>242.2</v>
      </c>
      <c r="Q54" s="115">
        <f t="shared" si="3"/>
        <v>31.7</v>
      </c>
      <c r="R54" s="115">
        <f t="shared" si="4"/>
        <v>-210.5</v>
      </c>
      <c r="S54" s="126">
        <f t="shared" si="5"/>
        <v>13.088356729975228</v>
      </c>
    </row>
    <row r="55" spans="3:19" s="15" customFormat="1" ht="75.75">
      <c r="C55" s="26"/>
      <c r="D55" s="26"/>
      <c r="E55" s="26"/>
      <c r="F55" s="34" t="s">
        <v>577</v>
      </c>
      <c r="G55" s="104">
        <v>677.5</v>
      </c>
      <c r="H55" s="104">
        <v>569.2</v>
      </c>
      <c r="I55" s="107">
        <f t="shared" si="1"/>
        <v>84.01476014760149</v>
      </c>
      <c r="J55" s="104">
        <f>K55+N55</f>
        <v>0</v>
      </c>
      <c r="K55" s="106"/>
      <c r="L55" s="106"/>
      <c r="M55" s="106"/>
      <c r="N55" s="90"/>
      <c r="O55" s="127"/>
      <c r="P55" s="105">
        <f t="shared" si="2"/>
        <v>677.5</v>
      </c>
      <c r="Q55" s="115">
        <f t="shared" si="3"/>
        <v>569.2</v>
      </c>
      <c r="R55" s="115">
        <f t="shared" si="4"/>
        <v>-108.29999999999995</v>
      </c>
      <c r="S55" s="126">
        <f t="shared" si="5"/>
        <v>84.01476014760149</v>
      </c>
    </row>
    <row r="56" spans="3:19" s="15" customFormat="1" ht="75.75">
      <c r="C56" s="26"/>
      <c r="D56" s="26"/>
      <c r="E56" s="26"/>
      <c r="F56" s="34" t="s">
        <v>578</v>
      </c>
      <c r="G56" s="104">
        <v>272.4</v>
      </c>
      <c r="H56" s="104"/>
      <c r="I56" s="107">
        <f t="shared" si="1"/>
        <v>0</v>
      </c>
      <c r="J56" s="104"/>
      <c r="K56" s="106"/>
      <c r="L56" s="106"/>
      <c r="M56" s="106"/>
      <c r="N56" s="90"/>
      <c r="O56" s="127"/>
      <c r="P56" s="105">
        <f>G56+J56</f>
        <v>272.4</v>
      </c>
      <c r="Q56" s="115">
        <f>H56+L56</f>
        <v>0</v>
      </c>
      <c r="R56" s="115">
        <f>Q56-P56</f>
        <v>-272.4</v>
      </c>
      <c r="S56" s="126">
        <f>Q56/P56*100</f>
        <v>0</v>
      </c>
    </row>
    <row r="57" spans="3:19" s="15" customFormat="1" ht="42.75" customHeight="1">
      <c r="C57" s="26"/>
      <c r="D57" s="26"/>
      <c r="E57" s="26"/>
      <c r="F57" s="34" t="s">
        <v>549</v>
      </c>
      <c r="G57" s="104">
        <v>121.8</v>
      </c>
      <c r="H57" s="104">
        <v>109.5</v>
      </c>
      <c r="I57" s="107">
        <f t="shared" si="1"/>
        <v>89.90147783251233</v>
      </c>
      <c r="J57" s="104">
        <v>88.8</v>
      </c>
      <c r="K57" s="106"/>
      <c r="L57" s="106">
        <v>88.8</v>
      </c>
      <c r="M57" s="106">
        <v>88.8</v>
      </c>
      <c r="N57" s="28">
        <v>24.0475</v>
      </c>
      <c r="O57" s="127">
        <f t="shared" si="6"/>
        <v>100</v>
      </c>
      <c r="P57" s="105">
        <f t="shared" si="2"/>
        <v>210.6</v>
      </c>
      <c r="Q57" s="115">
        <f t="shared" si="3"/>
        <v>198.3</v>
      </c>
      <c r="R57" s="115">
        <f t="shared" si="4"/>
        <v>-12.299999999999983</v>
      </c>
      <c r="S57" s="126">
        <f t="shared" si="5"/>
        <v>94.15954415954417</v>
      </c>
    </row>
    <row r="58" spans="3:19" s="15" customFormat="1" ht="34.5" customHeight="1" hidden="1">
      <c r="C58" s="26"/>
      <c r="D58" s="26"/>
      <c r="E58" s="26"/>
      <c r="F58" s="34" t="s">
        <v>21</v>
      </c>
      <c r="G58" s="104"/>
      <c r="H58" s="104"/>
      <c r="I58" s="107" t="e">
        <f t="shared" si="1"/>
        <v>#DIV/0!</v>
      </c>
      <c r="J58" s="104">
        <f>K58+N58</f>
        <v>0</v>
      </c>
      <c r="K58" s="106"/>
      <c r="L58" s="106"/>
      <c r="M58" s="106"/>
      <c r="N58" s="90"/>
      <c r="O58" s="127" t="e">
        <f t="shared" si="6"/>
        <v>#DIV/0!</v>
      </c>
      <c r="P58" s="105">
        <f t="shared" si="2"/>
        <v>0</v>
      </c>
      <c r="Q58" s="115">
        <f t="shared" si="3"/>
        <v>0</v>
      </c>
      <c r="R58" s="115">
        <f t="shared" si="4"/>
        <v>0</v>
      </c>
      <c r="S58" s="126" t="e">
        <f t="shared" si="5"/>
        <v>#DIV/0!</v>
      </c>
    </row>
    <row r="59" spans="1:19" s="6" customFormat="1" ht="49.5" customHeight="1">
      <c r="A59" s="6">
        <v>3</v>
      </c>
      <c r="B59" s="6">
        <v>10</v>
      </c>
      <c r="C59" s="4" t="s">
        <v>194</v>
      </c>
      <c r="D59" s="4" t="s">
        <v>56</v>
      </c>
      <c r="E59" s="4" t="s">
        <v>57</v>
      </c>
      <c r="F59" s="34" t="s">
        <v>5</v>
      </c>
      <c r="G59" s="143">
        <v>7522.1</v>
      </c>
      <c r="H59" s="104">
        <v>4916.3</v>
      </c>
      <c r="I59" s="107">
        <f t="shared" si="1"/>
        <v>65.35807819624839</v>
      </c>
      <c r="J59" s="104">
        <f>25.7+32.5</f>
        <v>58.2</v>
      </c>
      <c r="K59" s="106">
        <f>16.225+29.92</f>
        <v>46.145</v>
      </c>
      <c r="L59" s="106">
        <f>19.5+32.5</f>
        <v>52</v>
      </c>
      <c r="M59" s="106"/>
      <c r="N59" s="90"/>
      <c r="O59" s="127">
        <f t="shared" si="6"/>
        <v>89.34707903780068</v>
      </c>
      <c r="P59" s="105">
        <f t="shared" si="2"/>
        <v>7580.3</v>
      </c>
      <c r="Q59" s="115">
        <f t="shared" si="3"/>
        <v>4968.3</v>
      </c>
      <c r="R59" s="115">
        <f t="shared" si="4"/>
        <v>-2612</v>
      </c>
      <c r="S59" s="126">
        <f t="shared" si="5"/>
        <v>65.54226086038811</v>
      </c>
    </row>
    <row r="60" spans="1:19" s="6" customFormat="1" ht="34.5" customHeight="1">
      <c r="A60" s="6">
        <v>4</v>
      </c>
      <c r="B60" s="6">
        <v>11</v>
      </c>
      <c r="C60" s="26" t="s">
        <v>197</v>
      </c>
      <c r="D60" s="26" t="s">
        <v>196</v>
      </c>
      <c r="E60" s="26" t="s">
        <v>58</v>
      </c>
      <c r="F60" s="34" t="s">
        <v>195</v>
      </c>
      <c r="G60" s="104">
        <f>G61+G62</f>
        <v>1738.5</v>
      </c>
      <c r="H60" s="104">
        <f aca="true" t="shared" si="14" ref="H60:M60">H61+H62</f>
        <v>1047.5</v>
      </c>
      <c r="I60" s="107" t="e">
        <f t="shared" si="14"/>
        <v>#DIV/0!</v>
      </c>
      <c r="J60" s="104">
        <f t="shared" si="14"/>
        <v>179.6</v>
      </c>
      <c r="K60" s="104">
        <f t="shared" si="14"/>
        <v>0</v>
      </c>
      <c r="L60" s="104">
        <f t="shared" si="14"/>
        <v>179.6</v>
      </c>
      <c r="M60" s="104">
        <f t="shared" si="14"/>
        <v>179.6</v>
      </c>
      <c r="N60" s="90"/>
      <c r="O60" s="127">
        <f t="shared" si="6"/>
        <v>100</v>
      </c>
      <c r="P60" s="105">
        <f t="shared" si="2"/>
        <v>1918.1</v>
      </c>
      <c r="Q60" s="115">
        <f t="shared" si="3"/>
        <v>1227.1</v>
      </c>
      <c r="R60" s="115">
        <f t="shared" si="4"/>
        <v>-691</v>
      </c>
      <c r="S60" s="126">
        <f t="shared" si="5"/>
        <v>63.974766696209784</v>
      </c>
    </row>
    <row r="61" spans="3:19" s="6" customFormat="1" ht="27.75" customHeight="1">
      <c r="C61" s="26"/>
      <c r="D61" s="26"/>
      <c r="E61" s="26"/>
      <c r="F61" s="34" t="s">
        <v>579</v>
      </c>
      <c r="G61" s="104">
        <v>1738.5</v>
      </c>
      <c r="H61" s="104">
        <v>1047.5</v>
      </c>
      <c r="I61" s="107">
        <f t="shared" si="1"/>
        <v>60.253091745757835</v>
      </c>
      <c r="J61" s="104">
        <v>16.6</v>
      </c>
      <c r="K61" s="106"/>
      <c r="L61" s="106">
        <v>16.6</v>
      </c>
      <c r="M61" s="106">
        <v>16.6</v>
      </c>
      <c r="N61" s="90"/>
      <c r="O61" s="127">
        <f t="shared" si="6"/>
        <v>100</v>
      </c>
      <c r="P61" s="105">
        <f>G61+J61</f>
        <v>1755.1</v>
      </c>
      <c r="Q61" s="115">
        <f>H61+L61</f>
        <v>1064.1</v>
      </c>
      <c r="R61" s="115">
        <f>Q61-P61</f>
        <v>-691</v>
      </c>
      <c r="S61" s="126">
        <f>Q61/P61*100</f>
        <v>60.6290239872372</v>
      </c>
    </row>
    <row r="62" spans="3:19" s="6" customFormat="1" ht="64.5" customHeight="1">
      <c r="C62" s="26"/>
      <c r="D62" s="26"/>
      <c r="E62" s="26"/>
      <c r="F62" s="34" t="s">
        <v>580</v>
      </c>
      <c r="G62" s="104"/>
      <c r="H62" s="104"/>
      <c r="I62" s="107" t="e">
        <f t="shared" si="1"/>
        <v>#DIV/0!</v>
      </c>
      <c r="J62" s="104">
        <v>163</v>
      </c>
      <c r="K62" s="106"/>
      <c r="L62" s="106">
        <v>163</v>
      </c>
      <c r="M62" s="106">
        <v>163</v>
      </c>
      <c r="N62" s="90"/>
      <c r="O62" s="127">
        <f t="shared" si="6"/>
        <v>100</v>
      </c>
      <c r="P62" s="105">
        <f>G62+J62</f>
        <v>163</v>
      </c>
      <c r="Q62" s="115">
        <f>H62+L62</f>
        <v>163</v>
      </c>
      <c r="R62" s="115">
        <f>Q62-P62</f>
        <v>0</v>
      </c>
      <c r="S62" s="126">
        <f>Q62/P62*100</f>
        <v>100</v>
      </c>
    </row>
    <row r="63" spans="3:19" s="30" customFormat="1" ht="44.25" customHeight="1">
      <c r="C63" s="26" t="s">
        <v>382</v>
      </c>
      <c r="D63" s="26" t="s">
        <v>383</v>
      </c>
      <c r="E63" s="26" t="s">
        <v>58</v>
      </c>
      <c r="F63" s="34" t="s">
        <v>553</v>
      </c>
      <c r="G63" s="143">
        <f>SUM(G64:G66)</f>
        <v>6437</v>
      </c>
      <c r="H63" s="143">
        <f aca="true" t="shared" si="15" ref="H63:N63">SUM(H64:H66)</f>
        <v>4577</v>
      </c>
      <c r="I63" s="107">
        <f t="shared" si="1"/>
        <v>71.1045518098493</v>
      </c>
      <c r="J63" s="143">
        <f t="shared" si="15"/>
        <v>24.2</v>
      </c>
      <c r="K63" s="143">
        <f t="shared" si="15"/>
        <v>18.381</v>
      </c>
      <c r="L63" s="143">
        <f t="shared" si="15"/>
        <v>23.799999999999997</v>
      </c>
      <c r="M63" s="143">
        <f t="shared" si="15"/>
        <v>0</v>
      </c>
      <c r="N63" s="144">
        <f t="shared" si="15"/>
        <v>0</v>
      </c>
      <c r="O63" s="127">
        <f t="shared" si="6"/>
        <v>98.34710743801652</v>
      </c>
      <c r="P63" s="105">
        <f t="shared" si="2"/>
        <v>6461.2</v>
      </c>
      <c r="Q63" s="115">
        <f t="shared" si="3"/>
        <v>4600.8</v>
      </c>
      <c r="R63" s="115">
        <f t="shared" si="4"/>
        <v>-1860.3999999999996</v>
      </c>
      <c r="S63" s="126">
        <f t="shared" si="5"/>
        <v>71.20658701170062</v>
      </c>
    </row>
    <row r="64" spans="3:19" s="30" customFormat="1" ht="27" customHeight="1">
      <c r="C64" s="26"/>
      <c r="D64" s="26"/>
      <c r="E64" s="26"/>
      <c r="F64" s="34" t="s">
        <v>551</v>
      </c>
      <c r="G64" s="143">
        <v>2331.3</v>
      </c>
      <c r="H64" s="104">
        <v>1759</v>
      </c>
      <c r="I64" s="107">
        <f t="shared" si="1"/>
        <v>75.45146484793891</v>
      </c>
      <c r="J64" s="104">
        <v>0.4</v>
      </c>
      <c r="K64" s="106"/>
      <c r="L64" s="106">
        <v>0.4</v>
      </c>
      <c r="M64" s="106"/>
      <c r="N64" s="90"/>
      <c r="O64" s="127">
        <f t="shared" si="6"/>
        <v>100</v>
      </c>
      <c r="P64" s="105">
        <f t="shared" si="2"/>
        <v>2331.7000000000003</v>
      </c>
      <c r="Q64" s="115">
        <f t="shared" si="3"/>
        <v>1759.4</v>
      </c>
      <c r="R64" s="115">
        <f t="shared" si="4"/>
        <v>-572.3000000000002</v>
      </c>
      <c r="S64" s="126">
        <f t="shared" si="5"/>
        <v>75.45567611613843</v>
      </c>
    </row>
    <row r="65" spans="1:19" s="30" customFormat="1" ht="27.75" customHeight="1">
      <c r="A65" s="30">
        <v>6</v>
      </c>
      <c r="B65" s="30">
        <v>13</v>
      </c>
      <c r="C65" s="26"/>
      <c r="D65" s="26"/>
      <c r="E65" s="26"/>
      <c r="F65" s="34" t="s">
        <v>552</v>
      </c>
      <c r="G65" s="143">
        <v>1925.3</v>
      </c>
      <c r="H65" s="104">
        <v>1429.7</v>
      </c>
      <c r="I65" s="107">
        <f t="shared" si="1"/>
        <v>74.25855710798318</v>
      </c>
      <c r="J65" s="104">
        <v>0</v>
      </c>
      <c r="K65" s="106">
        <f>0.438+2.943+15</f>
        <v>18.381</v>
      </c>
      <c r="L65" s="106">
        <v>0</v>
      </c>
      <c r="M65" s="106"/>
      <c r="N65" s="145"/>
      <c r="O65" s="127"/>
      <c r="P65" s="105">
        <f t="shared" si="2"/>
        <v>1925.3</v>
      </c>
      <c r="Q65" s="115">
        <f t="shared" si="3"/>
        <v>1429.7</v>
      </c>
      <c r="R65" s="115">
        <f t="shared" si="4"/>
        <v>-495.5999999999999</v>
      </c>
      <c r="S65" s="126">
        <f t="shared" si="5"/>
        <v>74.25855710798318</v>
      </c>
    </row>
    <row r="66" spans="3:19" s="30" customFormat="1" ht="42.75" customHeight="1">
      <c r="C66" s="26"/>
      <c r="D66" s="26"/>
      <c r="E66" s="26"/>
      <c r="F66" s="34" t="s">
        <v>586</v>
      </c>
      <c r="G66" s="143">
        <v>2180.4</v>
      </c>
      <c r="H66" s="104">
        <v>1388.3</v>
      </c>
      <c r="I66" s="107">
        <f t="shared" si="1"/>
        <v>63.67180333883691</v>
      </c>
      <c r="J66" s="104">
        <f>15+8.8</f>
        <v>23.8</v>
      </c>
      <c r="K66" s="106"/>
      <c r="L66" s="106">
        <v>23.4</v>
      </c>
      <c r="M66" s="106"/>
      <c r="N66" s="145"/>
      <c r="O66" s="127">
        <f t="shared" si="6"/>
        <v>98.31932773109243</v>
      </c>
      <c r="P66" s="105">
        <f t="shared" si="2"/>
        <v>2204.2000000000003</v>
      </c>
      <c r="Q66" s="115">
        <f t="shared" si="3"/>
        <v>1411.7</v>
      </c>
      <c r="R66" s="115">
        <f t="shared" si="4"/>
        <v>-792.5000000000002</v>
      </c>
      <c r="S66" s="126">
        <f t="shared" si="5"/>
        <v>64.0459123491516</v>
      </c>
    </row>
    <row r="67" spans="1:19" s="30" customFormat="1" ht="23.25" customHeight="1">
      <c r="A67" s="30">
        <v>7</v>
      </c>
      <c r="B67" s="30">
        <v>14</v>
      </c>
      <c r="C67" s="26" t="s">
        <v>384</v>
      </c>
      <c r="D67" s="26" t="s">
        <v>385</v>
      </c>
      <c r="E67" s="26" t="s">
        <v>58</v>
      </c>
      <c r="F67" s="34" t="s">
        <v>386</v>
      </c>
      <c r="G67" s="143">
        <f>SUM(G68:G69)</f>
        <v>224.8</v>
      </c>
      <c r="H67" s="143">
        <f>SUM(H68:H69)</f>
        <v>120.7</v>
      </c>
      <c r="I67" s="107">
        <f t="shared" si="1"/>
        <v>53.69217081850534</v>
      </c>
      <c r="J67" s="143">
        <f>SUM(J68:J69)</f>
        <v>81.1</v>
      </c>
      <c r="K67" s="143">
        <f>SUM(K68:K69)</f>
        <v>0</v>
      </c>
      <c r="L67" s="143">
        <f>SUM(L68:L69)</f>
        <v>78.9</v>
      </c>
      <c r="M67" s="143">
        <f>SUM(M68:M69)</f>
        <v>78.9</v>
      </c>
      <c r="N67" s="144">
        <f>N69</f>
        <v>100</v>
      </c>
      <c r="O67" s="127">
        <f t="shared" si="6"/>
        <v>97.28729963008634</v>
      </c>
      <c r="P67" s="105">
        <f t="shared" si="2"/>
        <v>305.9</v>
      </c>
      <c r="Q67" s="115">
        <f t="shared" si="3"/>
        <v>199.60000000000002</v>
      </c>
      <c r="R67" s="115">
        <f t="shared" si="4"/>
        <v>-106.29999999999995</v>
      </c>
      <c r="S67" s="126">
        <f t="shared" si="5"/>
        <v>65.25008172605428</v>
      </c>
    </row>
    <row r="68" spans="3:19" s="30" customFormat="1" ht="42" customHeight="1">
      <c r="C68" s="26"/>
      <c r="D68" s="26"/>
      <c r="E68" s="26"/>
      <c r="F68" s="34" t="s">
        <v>462</v>
      </c>
      <c r="G68" s="143">
        <v>10.9</v>
      </c>
      <c r="H68" s="143">
        <v>7.2</v>
      </c>
      <c r="I68" s="107">
        <f t="shared" si="1"/>
        <v>66.05504587155964</v>
      </c>
      <c r="J68" s="104">
        <f aca="true" t="shared" si="16" ref="J68:J75">K68+N68</f>
        <v>0</v>
      </c>
      <c r="K68" s="143"/>
      <c r="L68" s="143"/>
      <c r="M68" s="143"/>
      <c r="N68" s="144"/>
      <c r="O68" s="127"/>
      <c r="P68" s="105">
        <f t="shared" si="2"/>
        <v>10.9</v>
      </c>
      <c r="Q68" s="115">
        <f t="shared" si="3"/>
        <v>7.2</v>
      </c>
      <c r="R68" s="115">
        <f t="shared" si="4"/>
        <v>-3.7</v>
      </c>
      <c r="S68" s="126">
        <f t="shared" si="5"/>
        <v>66.05504587155964</v>
      </c>
    </row>
    <row r="69" spans="1:19" s="30" customFormat="1" ht="41.25" customHeight="1">
      <c r="A69" s="30">
        <v>8</v>
      </c>
      <c r="B69" s="30">
        <v>15</v>
      </c>
      <c r="C69" s="4"/>
      <c r="D69" s="4"/>
      <c r="E69" s="4"/>
      <c r="F69" s="34" t="s">
        <v>604</v>
      </c>
      <c r="G69" s="104">
        <v>213.9</v>
      </c>
      <c r="H69" s="104">
        <v>113.5</v>
      </c>
      <c r="I69" s="107">
        <f t="shared" si="1"/>
        <v>53.062178588125285</v>
      </c>
      <c r="J69" s="104">
        <v>81.1</v>
      </c>
      <c r="K69" s="104"/>
      <c r="L69" s="104">
        <v>78.9</v>
      </c>
      <c r="M69" s="104">
        <v>78.9</v>
      </c>
      <c r="N69" s="86">
        <v>100</v>
      </c>
      <c r="O69" s="127">
        <f t="shared" si="6"/>
        <v>97.28729963008634</v>
      </c>
      <c r="P69" s="105">
        <f t="shared" si="2"/>
        <v>295</v>
      </c>
      <c r="Q69" s="115">
        <f t="shared" si="3"/>
        <v>192.4</v>
      </c>
      <c r="R69" s="115">
        <f t="shared" si="4"/>
        <v>-102.6</v>
      </c>
      <c r="S69" s="126">
        <f t="shared" si="5"/>
        <v>65.22033898305085</v>
      </c>
    </row>
    <row r="70" spans="3:19" s="38" customFormat="1" ht="45" customHeight="1" hidden="1">
      <c r="C70" s="67" t="s">
        <v>334</v>
      </c>
      <c r="D70" s="67" t="s">
        <v>295</v>
      </c>
      <c r="E70" s="67"/>
      <c r="F70" s="36" t="s">
        <v>296</v>
      </c>
      <c r="G70" s="105">
        <f>G71</f>
        <v>0</v>
      </c>
      <c r="H70" s="105">
        <f aca="true" t="shared" si="17" ref="H70:N70">H71</f>
        <v>0</v>
      </c>
      <c r="I70" s="107" t="e">
        <f t="shared" si="1"/>
        <v>#DIV/0!</v>
      </c>
      <c r="J70" s="105">
        <f t="shared" si="16"/>
        <v>0</v>
      </c>
      <c r="K70" s="105">
        <f t="shared" si="17"/>
        <v>0</v>
      </c>
      <c r="L70" s="105">
        <f t="shared" si="17"/>
        <v>0</v>
      </c>
      <c r="M70" s="105">
        <f t="shared" si="17"/>
        <v>0</v>
      </c>
      <c r="N70" s="88">
        <f t="shared" si="17"/>
        <v>0</v>
      </c>
      <c r="O70" s="127" t="e">
        <f t="shared" si="6"/>
        <v>#DIV/0!</v>
      </c>
      <c r="P70" s="105">
        <f aca="true" t="shared" si="18" ref="P70:P80">G70+J70</f>
        <v>0</v>
      </c>
      <c r="Q70" s="115">
        <f aca="true" t="shared" si="19" ref="Q70:Q80">H70+L70</f>
        <v>0</v>
      </c>
      <c r="R70" s="115">
        <f aca="true" t="shared" si="20" ref="R70:R80">Q70-P70</f>
        <v>0</v>
      </c>
      <c r="S70" s="126" t="e">
        <f aca="true" t="shared" si="21" ref="S70:S80">Q70/P70*100</f>
        <v>#DIV/0!</v>
      </c>
    </row>
    <row r="71" spans="3:19" s="6" customFormat="1" ht="34.5" customHeight="1" hidden="1">
      <c r="C71" s="26" t="s">
        <v>413</v>
      </c>
      <c r="D71" s="26" t="s">
        <v>411</v>
      </c>
      <c r="E71" s="26" t="s">
        <v>81</v>
      </c>
      <c r="F71" s="33" t="s">
        <v>198</v>
      </c>
      <c r="G71" s="104">
        <f>G72</f>
        <v>0</v>
      </c>
      <c r="H71" s="157"/>
      <c r="I71" s="107" t="e">
        <f t="shared" si="1"/>
        <v>#DIV/0!</v>
      </c>
      <c r="J71" s="104">
        <f t="shared" si="16"/>
        <v>0</v>
      </c>
      <c r="K71" s="104">
        <f>K72</f>
        <v>0</v>
      </c>
      <c r="L71" s="104">
        <f>L72</f>
        <v>0</v>
      </c>
      <c r="M71" s="104">
        <f>M72</f>
        <v>0</v>
      </c>
      <c r="N71" s="86">
        <f>N72</f>
        <v>0</v>
      </c>
      <c r="O71" s="127" t="e">
        <f t="shared" si="6"/>
        <v>#DIV/0!</v>
      </c>
      <c r="P71" s="105">
        <f t="shared" si="18"/>
        <v>0</v>
      </c>
      <c r="Q71" s="115">
        <f t="shared" si="19"/>
        <v>0</v>
      </c>
      <c r="R71" s="115">
        <f t="shared" si="20"/>
        <v>0</v>
      </c>
      <c r="S71" s="126" t="e">
        <f t="shared" si="21"/>
        <v>#DIV/0!</v>
      </c>
    </row>
    <row r="72" spans="3:19" s="30" customFormat="1" ht="59.25" customHeight="1" hidden="1">
      <c r="C72" s="26"/>
      <c r="D72" s="26"/>
      <c r="E72" s="26"/>
      <c r="F72" s="33" t="s">
        <v>199</v>
      </c>
      <c r="G72" s="104"/>
      <c r="H72" s="157"/>
      <c r="I72" s="107" t="e">
        <f t="shared" si="1"/>
        <v>#DIV/0!</v>
      </c>
      <c r="J72" s="104">
        <f t="shared" si="16"/>
        <v>0</v>
      </c>
      <c r="K72" s="146"/>
      <c r="L72" s="104"/>
      <c r="M72" s="104"/>
      <c r="N72" s="86"/>
      <c r="O72" s="127" t="e">
        <f t="shared" si="6"/>
        <v>#DIV/0!</v>
      </c>
      <c r="P72" s="105">
        <f t="shared" si="18"/>
        <v>0</v>
      </c>
      <c r="Q72" s="115">
        <f t="shared" si="19"/>
        <v>0</v>
      </c>
      <c r="R72" s="115">
        <f t="shared" si="20"/>
        <v>0</v>
      </c>
      <c r="S72" s="126" t="e">
        <f t="shared" si="21"/>
        <v>#DIV/0!</v>
      </c>
    </row>
    <row r="73" spans="3:19" s="38" customFormat="1" ht="36.75" customHeight="1" hidden="1">
      <c r="C73" s="67" t="s">
        <v>335</v>
      </c>
      <c r="D73" s="67" t="s">
        <v>323</v>
      </c>
      <c r="E73" s="67"/>
      <c r="F73" s="36" t="s">
        <v>361</v>
      </c>
      <c r="G73" s="105">
        <f>G74</f>
        <v>0</v>
      </c>
      <c r="H73" s="105">
        <f aca="true" t="shared" si="22" ref="H73:N73">H74</f>
        <v>0</v>
      </c>
      <c r="I73" s="107" t="e">
        <f t="shared" si="1"/>
        <v>#DIV/0!</v>
      </c>
      <c r="J73" s="105">
        <f t="shared" si="16"/>
        <v>0</v>
      </c>
      <c r="K73" s="105">
        <f t="shared" si="22"/>
        <v>0</v>
      </c>
      <c r="L73" s="105">
        <f t="shared" si="22"/>
        <v>0</v>
      </c>
      <c r="M73" s="105">
        <f t="shared" si="22"/>
        <v>0</v>
      </c>
      <c r="N73" s="88">
        <f t="shared" si="22"/>
        <v>0</v>
      </c>
      <c r="O73" s="127" t="e">
        <f t="shared" si="6"/>
        <v>#DIV/0!</v>
      </c>
      <c r="P73" s="105">
        <f t="shared" si="18"/>
        <v>0</v>
      </c>
      <c r="Q73" s="115">
        <f t="shared" si="19"/>
        <v>0</v>
      </c>
      <c r="R73" s="115">
        <f t="shared" si="20"/>
        <v>0</v>
      </c>
      <c r="S73" s="126" t="e">
        <f t="shared" si="21"/>
        <v>#DIV/0!</v>
      </c>
    </row>
    <row r="74" spans="3:19" s="6" customFormat="1" ht="38.25" customHeight="1" hidden="1">
      <c r="C74" s="26" t="s">
        <v>200</v>
      </c>
      <c r="D74" s="26" t="s">
        <v>201</v>
      </c>
      <c r="E74" s="26"/>
      <c r="F74" s="33" t="s">
        <v>202</v>
      </c>
      <c r="G74" s="104">
        <f>G75</f>
        <v>0</v>
      </c>
      <c r="H74" s="157"/>
      <c r="I74" s="107" t="e">
        <f t="shared" si="1"/>
        <v>#DIV/0!</v>
      </c>
      <c r="J74" s="104">
        <f t="shared" si="16"/>
        <v>0</v>
      </c>
      <c r="K74" s="104">
        <f>K75</f>
        <v>0</v>
      </c>
      <c r="L74" s="104">
        <f>L75</f>
        <v>0</v>
      </c>
      <c r="M74" s="104">
        <f>M75</f>
        <v>0</v>
      </c>
      <c r="N74" s="86">
        <f>N75</f>
        <v>0</v>
      </c>
      <c r="O74" s="127" t="e">
        <f t="shared" si="6"/>
        <v>#DIV/0!</v>
      </c>
      <c r="P74" s="105">
        <f t="shared" si="18"/>
        <v>0</v>
      </c>
      <c r="Q74" s="115">
        <f t="shared" si="19"/>
        <v>0</v>
      </c>
      <c r="R74" s="115">
        <f t="shared" si="20"/>
        <v>0</v>
      </c>
      <c r="S74" s="126" t="e">
        <f t="shared" si="21"/>
        <v>#DIV/0!</v>
      </c>
    </row>
    <row r="75" spans="2:19" s="30" customFormat="1" ht="141" customHeight="1" hidden="1">
      <c r="B75" s="30">
        <v>20</v>
      </c>
      <c r="C75" s="26" t="s">
        <v>417</v>
      </c>
      <c r="D75" s="26" t="s">
        <v>415</v>
      </c>
      <c r="E75" s="26" t="s">
        <v>49</v>
      </c>
      <c r="F75" s="27" t="s">
        <v>416</v>
      </c>
      <c r="G75" s="104"/>
      <c r="H75" s="104"/>
      <c r="I75" s="107" t="e">
        <f t="shared" si="1"/>
        <v>#DIV/0!</v>
      </c>
      <c r="J75" s="104">
        <f t="shared" si="16"/>
        <v>0</v>
      </c>
      <c r="K75" s="104"/>
      <c r="L75" s="104"/>
      <c r="M75" s="104"/>
      <c r="N75" s="86"/>
      <c r="O75" s="127" t="e">
        <f t="shared" si="6"/>
        <v>#DIV/0!</v>
      </c>
      <c r="P75" s="105">
        <f t="shared" si="18"/>
        <v>0</v>
      </c>
      <c r="Q75" s="115">
        <f t="shared" si="19"/>
        <v>0</v>
      </c>
      <c r="R75" s="115">
        <f t="shared" si="20"/>
        <v>0</v>
      </c>
      <c r="S75" s="126" t="e">
        <f t="shared" si="21"/>
        <v>#DIV/0!</v>
      </c>
    </row>
    <row r="76" spans="3:19" s="30" customFormat="1" ht="28.5" customHeight="1">
      <c r="C76" s="67"/>
      <c r="D76" s="67"/>
      <c r="E76" s="67"/>
      <c r="F76" s="36" t="s">
        <v>361</v>
      </c>
      <c r="G76" s="104">
        <f>G77</f>
        <v>0</v>
      </c>
      <c r="H76" s="104">
        <f>H77</f>
        <v>0</v>
      </c>
      <c r="I76" s="107"/>
      <c r="J76" s="104">
        <f>J77</f>
        <v>11</v>
      </c>
      <c r="K76" s="104">
        <f>K77</f>
        <v>0</v>
      </c>
      <c r="L76" s="104">
        <f>L77</f>
        <v>11</v>
      </c>
      <c r="M76" s="104">
        <f>M77</f>
        <v>0</v>
      </c>
      <c r="N76" s="86"/>
      <c r="O76" s="127">
        <f>L76/J76*100</f>
        <v>100</v>
      </c>
      <c r="P76" s="105">
        <f t="shared" si="18"/>
        <v>11</v>
      </c>
      <c r="Q76" s="115">
        <f t="shared" si="19"/>
        <v>11</v>
      </c>
      <c r="R76" s="115">
        <f t="shared" si="20"/>
        <v>0</v>
      </c>
      <c r="S76" s="126">
        <f t="shared" si="21"/>
        <v>100</v>
      </c>
    </row>
    <row r="77" spans="3:19" s="30" customFormat="1" ht="141" customHeight="1">
      <c r="C77" s="26" t="s">
        <v>417</v>
      </c>
      <c r="D77" s="26" t="s">
        <v>415</v>
      </c>
      <c r="E77" s="26" t="s">
        <v>49</v>
      </c>
      <c r="F77" s="27" t="s">
        <v>416</v>
      </c>
      <c r="G77" s="104"/>
      <c r="H77" s="104"/>
      <c r="I77" s="107"/>
      <c r="J77" s="104">
        <v>11</v>
      </c>
      <c r="K77" s="104"/>
      <c r="L77" s="104">
        <v>11</v>
      </c>
      <c r="M77" s="104"/>
      <c r="N77" s="86"/>
      <c r="O77" s="127">
        <f>L77/J77*100</f>
        <v>100</v>
      </c>
      <c r="P77" s="105">
        <f t="shared" si="18"/>
        <v>11</v>
      </c>
      <c r="Q77" s="115">
        <f t="shared" si="19"/>
        <v>11</v>
      </c>
      <c r="R77" s="115">
        <f t="shared" si="20"/>
        <v>0</v>
      </c>
      <c r="S77" s="126">
        <f t="shared" si="21"/>
        <v>100</v>
      </c>
    </row>
    <row r="78" spans="3:19" s="30" customFormat="1" ht="27.75" customHeight="1">
      <c r="C78" s="24"/>
      <c r="D78" s="24"/>
      <c r="E78" s="26"/>
      <c r="F78" s="158" t="s">
        <v>327</v>
      </c>
      <c r="G78" s="104">
        <f>G79</f>
        <v>17.4</v>
      </c>
      <c r="H78" s="104">
        <f>H79</f>
        <v>0</v>
      </c>
      <c r="I78" s="107"/>
      <c r="J78" s="104"/>
      <c r="K78" s="104"/>
      <c r="L78" s="104"/>
      <c r="M78" s="104"/>
      <c r="N78" s="86"/>
      <c r="O78" s="127"/>
      <c r="P78" s="105">
        <f t="shared" si="18"/>
        <v>17.4</v>
      </c>
      <c r="Q78" s="115">
        <f t="shared" si="19"/>
        <v>0</v>
      </c>
      <c r="R78" s="115">
        <f t="shared" si="20"/>
        <v>-17.4</v>
      </c>
      <c r="S78" s="126">
        <f t="shared" si="21"/>
        <v>0</v>
      </c>
    </row>
    <row r="79" spans="3:19" s="30" customFormat="1" ht="27" customHeight="1">
      <c r="C79" s="4" t="s">
        <v>581</v>
      </c>
      <c r="D79" s="4" t="s">
        <v>259</v>
      </c>
      <c r="E79" s="4" t="s">
        <v>46</v>
      </c>
      <c r="F79" s="2" t="s">
        <v>582</v>
      </c>
      <c r="G79" s="104">
        <f>G80</f>
        <v>17.4</v>
      </c>
      <c r="H79" s="104">
        <f>H80</f>
        <v>0</v>
      </c>
      <c r="I79" s="107"/>
      <c r="J79" s="104"/>
      <c r="K79" s="104"/>
      <c r="L79" s="104"/>
      <c r="M79" s="104"/>
      <c r="N79" s="86"/>
      <c r="O79" s="127"/>
      <c r="P79" s="105">
        <f t="shared" si="18"/>
        <v>17.4</v>
      </c>
      <c r="Q79" s="115">
        <f t="shared" si="19"/>
        <v>0</v>
      </c>
      <c r="R79" s="115">
        <f t="shared" si="20"/>
        <v>-17.4</v>
      </c>
      <c r="S79" s="126">
        <f t="shared" si="21"/>
        <v>0</v>
      </c>
    </row>
    <row r="80" spans="3:19" s="30" customFormat="1" ht="80.25" customHeight="1">
      <c r="C80" s="4"/>
      <c r="D80" s="4"/>
      <c r="E80" s="4"/>
      <c r="F80" s="34" t="s">
        <v>583</v>
      </c>
      <c r="G80" s="104">
        <v>17.4</v>
      </c>
      <c r="H80" s="104"/>
      <c r="I80" s="107"/>
      <c r="J80" s="104"/>
      <c r="K80" s="104"/>
      <c r="L80" s="104"/>
      <c r="M80" s="104"/>
      <c r="N80" s="86"/>
      <c r="O80" s="127"/>
      <c r="P80" s="105">
        <f t="shared" si="18"/>
        <v>17.4</v>
      </c>
      <c r="Q80" s="115">
        <f t="shared" si="19"/>
        <v>0</v>
      </c>
      <c r="R80" s="115">
        <f t="shared" si="20"/>
        <v>-17.4</v>
      </c>
      <c r="S80" s="126">
        <f t="shared" si="21"/>
        <v>0</v>
      </c>
    </row>
    <row r="81" spans="3:19" s="16" customFormat="1" ht="27.75" customHeight="1">
      <c r="C81" s="71"/>
      <c r="D81" s="71"/>
      <c r="E81" s="71"/>
      <c r="F81" s="73" t="s">
        <v>10</v>
      </c>
      <c r="G81" s="109">
        <f>G40+G43+G70+G73+G76+G78</f>
        <v>146978.79999999996</v>
      </c>
      <c r="H81" s="109">
        <f>H40+H43+H70+H73+H76+H78</f>
        <v>104171.7</v>
      </c>
      <c r="I81" s="107">
        <f t="shared" si="1"/>
        <v>70.8753235160445</v>
      </c>
      <c r="J81" s="109">
        <f>J40+J43+J70+J73+J76+J78</f>
        <v>8935.600000000002</v>
      </c>
      <c r="K81" s="109">
        <f>K40+K43+K70+K73+K76+K78</f>
        <v>7748.45366</v>
      </c>
      <c r="L81" s="109">
        <f>L40+L43+L70+L73+L76+L78</f>
        <v>6376.7</v>
      </c>
      <c r="M81" s="109">
        <f>M40+M43+M70+M73+M76+M78</f>
        <v>652.1999999999999</v>
      </c>
      <c r="N81" s="89" t="e">
        <f>N40+N43+N70+N73</f>
        <v>#REF!</v>
      </c>
      <c r="O81" s="127">
        <f>L81/J81*100</f>
        <v>71.36286315412505</v>
      </c>
      <c r="P81" s="105">
        <f t="shared" si="2"/>
        <v>155914.39999999997</v>
      </c>
      <c r="Q81" s="115">
        <f t="shared" si="3"/>
        <v>110548.4</v>
      </c>
      <c r="R81" s="115">
        <f t="shared" si="4"/>
        <v>-45365.99999999997</v>
      </c>
      <c r="S81" s="126">
        <f t="shared" si="5"/>
        <v>70.90326486841498</v>
      </c>
    </row>
    <row r="82" spans="3:44" s="6" customFormat="1" ht="48.75" customHeight="1">
      <c r="C82" s="24" t="s">
        <v>149</v>
      </c>
      <c r="D82" s="24"/>
      <c r="E82" s="24"/>
      <c r="F82" s="25" t="s">
        <v>605</v>
      </c>
      <c r="G82" s="104"/>
      <c r="H82" s="104"/>
      <c r="I82" s="107"/>
      <c r="J82" s="104"/>
      <c r="K82" s="104"/>
      <c r="L82" s="104"/>
      <c r="M82" s="104"/>
      <c r="N82" s="86"/>
      <c r="O82" s="127"/>
      <c r="P82" s="105"/>
      <c r="Q82" s="115"/>
      <c r="R82" s="115"/>
      <c r="S82" s="126"/>
      <c r="T82" s="3"/>
      <c r="U82" s="3"/>
      <c r="V82" s="3"/>
      <c r="W82" s="3"/>
      <c r="X82" s="3"/>
      <c r="Y82" s="3"/>
      <c r="Z82" s="3"/>
      <c r="AA82" s="3"/>
      <c r="AB82" s="3"/>
      <c r="AC82" s="3"/>
      <c r="AD82" s="3"/>
      <c r="AE82" s="3"/>
      <c r="AF82" s="3"/>
      <c r="AG82" s="3"/>
      <c r="AH82" s="3"/>
      <c r="AI82" s="3"/>
      <c r="AJ82" s="3"/>
      <c r="AK82" s="3"/>
      <c r="AL82" s="3"/>
      <c r="AM82" s="3"/>
      <c r="AN82" s="3"/>
      <c r="AO82" s="3"/>
      <c r="AP82" s="3"/>
      <c r="AQ82" s="3"/>
      <c r="AR82" s="3"/>
    </row>
    <row r="83" spans="3:44" s="6" customFormat="1" ht="60.75" customHeight="1">
      <c r="C83" s="24" t="s">
        <v>150</v>
      </c>
      <c r="D83" s="24"/>
      <c r="E83" s="24"/>
      <c r="F83" s="25" t="s">
        <v>606</v>
      </c>
      <c r="G83" s="104"/>
      <c r="H83" s="104"/>
      <c r="I83" s="107"/>
      <c r="J83" s="104"/>
      <c r="K83" s="104"/>
      <c r="L83" s="104"/>
      <c r="M83" s="104"/>
      <c r="N83" s="86"/>
      <c r="O83" s="127"/>
      <c r="P83" s="105"/>
      <c r="Q83" s="115"/>
      <c r="R83" s="115"/>
      <c r="S83" s="126"/>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3:44" s="38" customFormat="1" ht="25.5" customHeight="1">
      <c r="C84" s="24"/>
      <c r="D84" s="24"/>
      <c r="E84" s="24"/>
      <c r="F84" s="25" t="s">
        <v>331</v>
      </c>
      <c r="G84" s="105">
        <f>G85</f>
        <v>6263.2</v>
      </c>
      <c r="H84" s="105">
        <f>H85</f>
        <v>5187.5</v>
      </c>
      <c r="I84" s="107">
        <f aca="true" t="shared" si="23" ref="I84:I138">H84/G84*100</f>
        <v>82.82507344488441</v>
      </c>
      <c r="J84" s="105">
        <f>J85</f>
        <v>11</v>
      </c>
      <c r="K84" s="105">
        <f>K85</f>
        <v>0</v>
      </c>
      <c r="L84" s="105">
        <f>L85</f>
        <v>10.9</v>
      </c>
      <c r="M84" s="105">
        <f>M85</f>
        <v>8</v>
      </c>
      <c r="N84" s="88">
        <f>N85</f>
        <v>90</v>
      </c>
      <c r="O84" s="127">
        <f aca="true" t="shared" si="24" ref="O84:O89">L84/J84*100</f>
        <v>99.0909090909091</v>
      </c>
      <c r="P84" s="105">
        <f aca="true" t="shared" si="25" ref="P84:P138">G84+J84</f>
        <v>6274.2</v>
      </c>
      <c r="Q84" s="115">
        <f aca="true" t="shared" si="26" ref="Q84:Q138">H84+L84</f>
        <v>5198.4</v>
      </c>
      <c r="R84" s="115">
        <f aca="true" t="shared" si="27" ref="R84:R138">Q84-P84</f>
        <v>-1075.8000000000002</v>
      </c>
      <c r="S84" s="126">
        <f aca="true" t="shared" si="28" ref="S84:S138">Q84/P84*100</f>
        <v>82.85359089605049</v>
      </c>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row>
    <row r="85" spans="1:19" s="6" customFormat="1" ht="57.75" customHeight="1">
      <c r="A85" s="6">
        <v>3</v>
      </c>
      <c r="B85" s="6">
        <v>18</v>
      </c>
      <c r="C85" s="26" t="s">
        <v>151</v>
      </c>
      <c r="D85" s="26" t="s">
        <v>51</v>
      </c>
      <c r="E85" s="26" t="s">
        <v>47</v>
      </c>
      <c r="F85" s="27" t="s">
        <v>152</v>
      </c>
      <c r="G85" s="104">
        <f>G86+G87</f>
        <v>6263.2</v>
      </c>
      <c r="H85" s="104">
        <v>5187.5</v>
      </c>
      <c r="I85" s="107">
        <f t="shared" si="23"/>
        <v>82.82507344488441</v>
      </c>
      <c r="J85" s="104">
        <f>J86</f>
        <v>11</v>
      </c>
      <c r="K85" s="104">
        <f>K86+K87</f>
        <v>0</v>
      </c>
      <c r="L85" s="104">
        <f>L86+L87</f>
        <v>10.9</v>
      </c>
      <c r="M85" s="104">
        <f>M86+M87</f>
        <v>8</v>
      </c>
      <c r="N85" s="86">
        <f>N86+N87</f>
        <v>90</v>
      </c>
      <c r="O85" s="127">
        <f t="shared" si="24"/>
        <v>99.0909090909091</v>
      </c>
      <c r="P85" s="105">
        <f t="shared" si="25"/>
        <v>6274.2</v>
      </c>
      <c r="Q85" s="115">
        <f t="shared" si="26"/>
        <v>5198.4</v>
      </c>
      <c r="R85" s="115">
        <f t="shared" si="27"/>
        <v>-1075.8000000000002</v>
      </c>
      <c r="S85" s="126">
        <f t="shared" si="28"/>
        <v>82.85359089605049</v>
      </c>
    </row>
    <row r="86" spans="3:19" s="30" customFormat="1" ht="45.75" customHeight="1">
      <c r="C86" s="26"/>
      <c r="D86" s="26"/>
      <c r="E86" s="26"/>
      <c r="F86" s="27" t="s">
        <v>140</v>
      </c>
      <c r="G86" s="104">
        <v>6263.2</v>
      </c>
      <c r="H86" s="104">
        <v>3366.2</v>
      </c>
      <c r="I86" s="107">
        <f t="shared" si="23"/>
        <v>53.74568910461106</v>
      </c>
      <c r="J86" s="104">
        <f>3+8</f>
        <v>11</v>
      </c>
      <c r="K86" s="112"/>
      <c r="L86" s="104">
        <v>10.9</v>
      </c>
      <c r="M86" s="104">
        <v>8</v>
      </c>
      <c r="N86" s="86">
        <v>90</v>
      </c>
      <c r="O86" s="127">
        <f t="shared" si="24"/>
        <v>99.0909090909091</v>
      </c>
      <c r="P86" s="105">
        <f t="shared" si="25"/>
        <v>6274.2</v>
      </c>
      <c r="Q86" s="115">
        <f t="shared" si="26"/>
        <v>3377.1</v>
      </c>
      <c r="R86" s="115">
        <f t="shared" si="27"/>
        <v>-2897.1</v>
      </c>
      <c r="S86" s="126">
        <f t="shared" si="28"/>
        <v>53.825188868700394</v>
      </c>
    </row>
    <row r="87" spans="3:19" s="30" customFormat="1" ht="45.75" customHeight="1" hidden="1">
      <c r="C87" s="26"/>
      <c r="D87" s="26"/>
      <c r="E87" s="26"/>
      <c r="F87" s="27" t="s">
        <v>105</v>
      </c>
      <c r="G87" s="104"/>
      <c r="H87" s="104"/>
      <c r="I87" s="107" t="e">
        <f t="shared" si="23"/>
        <v>#DIV/0!</v>
      </c>
      <c r="J87" s="104">
        <f>K87+N87</f>
        <v>0</v>
      </c>
      <c r="K87" s="112"/>
      <c r="L87" s="104"/>
      <c r="M87" s="104"/>
      <c r="N87" s="86"/>
      <c r="O87" s="127" t="e">
        <f t="shared" si="24"/>
        <v>#DIV/0!</v>
      </c>
      <c r="P87" s="105">
        <f t="shared" si="25"/>
        <v>0</v>
      </c>
      <c r="Q87" s="115">
        <f t="shared" si="26"/>
        <v>0</v>
      </c>
      <c r="R87" s="115">
        <f t="shared" si="27"/>
        <v>0</v>
      </c>
      <c r="S87" s="126" t="e">
        <f t="shared" si="28"/>
        <v>#DIV/0!</v>
      </c>
    </row>
    <row r="88" spans="3:19" s="38" customFormat="1" ht="32.25" customHeight="1">
      <c r="C88" s="67"/>
      <c r="D88" s="67"/>
      <c r="E88" s="67"/>
      <c r="F88" s="52" t="s">
        <v>294</v>
      </c>
      <c r="G88" s="105">
        <f>G89+G96+G99+G100+G101+G102+G106+G107+G109</f>
        <v>64424.799999999996</v>
      </c>
      <c r="H88" s="105">
        <f>H89+H96+H99+H100+H101+H102+H106+H107+H109</f>
        <v>50482.5</v>
      </c>
      <c r="I88" s="107">
        <f t="shared" si="23"/>
        <v>78.35879971687922</v>
      </c>
      <c r="J88" s="105">
        <f>J89+J96+J99+J100+J101+J102+J106+J107+J109</f>
        <v>7686.4</v>
      </c>
      <c r="K88" s="105">
        <f>K89+K96+K99+K100+K101+K102+K106+K107+K109</f>
        <v>6609.9424</v>
      </c>
      <c r="L88" s="105">
        <f>L89+L96+L99+L100+L101+L102+L106+L107+L109</f>
        <v>5326.5</v>
      </c>
      <c r="M88" s="105">
        <f>M89+M96+M99+M100+M101+M102+M106+M107+M109</f>
        <v>128.1</v>
      </c>
      <c r="N88" s="88" t="e">
        <f>N89+#REF!+#REF!+#REF!</f>
        <v>#REF!</v>
      </c>
      <c r="O88" s="127">
        <f t="shared" si="24"/>
        <v>69.29772064945878</v>
      </c>
      <c r="P88" s="105">
        <f t="shared" si="25"/>
        <v>72111.2</v>
      </c>
      <c r="Q88" s="115">
        <f t="shared" si="26"/>
        <v>55809</v>
      </c>
      <c r="R88" s="115">
        <f t="shared" si="27"/>
        <v>-16302.199999999997</v>
      </c>
      <c r="S88" s="126">
        <f t="shared" si="28"/>
        <v>77.39297085612222</v>
      </c>
    </row>
    <row r="89" spans="3:19" s="6" customFormat="1" ht="49.5" customHeight="1">
      <c r="C89" s="4" t="s">
        <v>203</v>
      </c>
      <c r="D89" s="4" t="s">
        <v>123</v>
      </c>
      <c r="E89" s="4" t="s">
        <v>124</v>
      </c>
      <c r="F89" s="32" t="s">
        <v>473</v>
      </c>
      <c r="G89" s="104">
        <f>SUM(G90:G95)</f>
        <v>55384.4</v>
      </c>
      <c r="H89" s="104">
        <f>SUM(H90:H95)</f>
        <v>44125.4</v>
      </c>
      <c r="I89" s="107">
        <f t="shared" si="23"/>
        <v>79.67117094344256</v>
      </c>
      <c r="J89" s="104">
        <f>J90+J91+J92</f>
        <v>7572.4</v>
      </c>
      <c r="K89" s="104">
        <f>SUM(K90:K94)</f>
        <v>6609.9424</v>
      </c>
      <c r="L89" s="104">
        <f>SUM(L90:L94)</f>
        <v>5216.4</v>
      </c>
      <c r="M89" s="104">
        <f>SUM(M90:M94)</f>
        <v>18</v>
      </c>
      <c r="N89" s="86">
        <f>SUM(N90:N94)</f>
        <v>260</v>
      </c>
      <c r="O89" s="127">
        <f t="shared" si="24"/>
        <v>68.8870107231525</v>
      </c>
      <c r="P89" s="105">
        <f t="shared" si="25"/>
        <v>62956.8</v>
      </c>
      <c r="Q89" s="115">
        <f t="shared" si="26"/>
        <v>49341.8</v>
      </c>
      <c r="R89" s="115">
        <f t="shared" si="27"/>
        <v>-13615</v>
      </c>
      <c r="S89" s="126">
        <f t="shared" si="28"/>
        <v>78.37405967266443</v>
      </c>
    </row>
    <row r="90" spans="3:19" s="30" customFormat="1" ht="23.25" customHeight="1">
      <c r="C90" s="4"/>
      <c r="D90" s="4"/>
      <c r="E90" s="4"/>
      <c r="F90" s="23" t="s">
        <v>607</v>
      </c>
      <c r="G90" s="104">
        <v>28709.2</v>
      </c>
      <c r="H90" s="104">
        <f>22253.1-122</f>
        <v>22131.1</v>
      </c>
      <c r="I90" s="107">
        <f t="shared" si="23"/>
        <v>77.0871358310228</v>
      </c>
      <c r="J90" s="104">
        <f aca="true" t="shared" si="29" ref="J90:J95">K90+N90</f>
        <v>0</v>
      </c>
      <c r="K90" s="113"/>
      <c r="L90" s="104"/>
      <c r="M90" s="104"/>
      <c r="N90" s="86"/>
      <c r="O90" s="127"/>
      <c r="P90" s="105">
        <f t="shared" si="25"/>
        <v>28709.2</v>
      </c>
      <c r="Q90" s="115">
        <f t="shared" si="26"/>
        <v>22131.1</v>
      </c>
      <c r="R90" s="115">
        <f t="shared" si="27"/>
        <v>-6578.100000000002</v>
      </c>
      <c r="S90" s="126">
        <f t="shared" si="28"/>
        <v>77.0871358310228</v>
      </c>
    </row>
    <row r="91" spans="3:19" s="30" customFormat="1" ht="23.25" customHeight="1">
      <c r="C91" s="4"/>
      <c r="D91" s="4"/>
      <c r="E91" s="4"/>
      <c r="F91" s="23" t="s">
        <v>39</v>
      </c>
      <c r="G91" s="104">
        <f>25598+4.8</f>
        <v>25602.8</v>
      </c>
      <c r="H91" s="104">
        <f>21231.2+4.8+122</f>
        <v>21358</v>
      </c>
      <c r="I91" s="107">
        <f t="shared" si="23"/>
        <v>83.42056337588076</v>
      </c>
      <c r="J91" s="104">
        <f>42.3+6444.5+1085.6</f>
        <v>7572.4</v>
      </c>
      <c r="K91" s="104">
        <f>6444.5+165.4424</f>
        <v>6609.9424</v>
      </c>
      <c r="L91" s="104">
        <f>4114.9+1083.5+18</f>
        <v>5216.4</v>
      </c>
      <c r="M91" s="104">
        <v>18</v>
      </c>
      <c r="N91" s="86">
        <v>260</v>
      </c>
      <c r="O91" s="127">
        <f>L91/J91*100</f>
        <v>68.8870107231525</v>
      </c>
      <c r="P91" s="105">
        <f t="shared" si="25"/>
        <v>33175.2</v>
      </c>
      <c r="Q91" s="115">
        <f t="shared" si="26"/>
        <v>26574.4</v>
      </c>
      <c r="R91" s="115">
        <f t="shared" si="27"/>
        <v>-6600.799999999996</v>
      </c>
      <c r="S91" s="126">
        <f t="shared" si="28"/>
        <v>80.10320962646797</v>
      </c>
    </row>
    <row r="92" spans="3:19" s="30" customFormat="1" ht="40.5" customHeight="1">
      <c r="C92" s="4"/>
      <c r="D92" s="4"/>
      <c r="E92" s="4"/>
      <c r="F92" s="23" t="s">
        <v>558</v>
      </c>
      <c r="G92" s="104">
        <v>1072.4</v>
      </c>
      <c r="H92" s="104">
        <v>636.3</v>
      </c>
      <c r="I92" s="107">
        <f t="shared" si="23"/>
        <v>59.33420365535247</v>
      </c>
      <c r="J92" s="104">
        <f t="shared" si="29"/>
        <v>0</v>
      </c>
      <c r="K92" s="113"/>
      <c r="L92" s="104"/>
      <c r="M92" s="104"/>
      <c r="N92" s="86"/>
      <c r="O92" s="127"/>
      <c r="P92" s="105">
        <f t="shared" si="25"/>
        <v>1072.4</v>
      </c>
      <c r="Q92" s="115">
        <f t="shared" si="26"/>
        <v>636.3</v>
      </c>
      <c r="R92" s="115">
        <f t="shared" si="27"/>
        <v>-436.10000000000014</v>
      </c>
      <c r="S92" s="126">
        <f t="shared" si="28"/>
        <v>59.33420365535247</v>
      </c>
    </row>
    <row r="93" spans="3:19" s="30" customFormat="1" ht="75.75" customHeight="1" hidden="1">
      <c r="C93" s="4"/>
      <c r="D93" s="4"/>
      <c r="E93" s="4"/>
      <c r="F93" s="23" t="s">
        <v>135</v>
      </c>
      <c r="G93" s="104"/>
      <c r="H93" s="104"/>
      <c r="I93" s="107" t="e">
        <f t="shared" si="23"/>
        <v>#DIV/0!</v>
      </c>
      <c r="J93" s="104">
        <f t="shared" si="29"/>
        <v>0</v>
      </c>
      <c r="K93" s="113"/>
      <c r="L93" s="104"/>
      <c r="M93" s="104"/>
      <c r="N93" s="86"/>
      <c r="O93" s="127" t="e">
        <f>L93/J93*100</f>
        <v>#DIV/0!</v>
      </c>
      <c r="P93" s="105">
        <f t="shared" si="25"/>
        <v>0</v>
      </c>
      <c r="Q93" s="115">
        <f t="shared" si="26"/>
        <v>0</v>
      </c>
      <c r="R93" s="115">
        <f t="shared" si="27"/>
        <v>0</v>
      </c>
      <c r="S93" s="126" t="e">
        <f t="shared" si="28"/>
        <v>#DIV/0!</v>
      </c>
    </row>
    <row r="94" spans="3:19" s="30" customFormat="1" ht="63" customHeight="1" hidden="1">
      <c r="C94" s="4"/>
      <c r="D94" s="4"/>
      <c r="E94" s="4"/>
      <c r="F94" s="23" t="s">
        <v>126</v>
      </c>
      <c r="G94" s="104"/>
      <c r="H94" s="104"/>
      <c r="I94" s="107" t="e">
        <f t="shared" si="23"/>
        <v>#DIV/0!</v>
      </c>
      <c r="J94" s="104"/>
      <c r="K94" s="113"/>
      <c r="L94" s="104"/>
      <c r="M94" s="104"/>
      <c r="N94" s="86"/>
      <c r="O94" s="127" t="e">
        <f>L94/J94*100</f>
        <v>#DIV/0!</v>
      </c>
      <c r="P94" s="105">
        <f t="shared" si="25"/>
        <v>0</v>
      </c>
      <c r="Q94" s="115">
        <f t="shared" si="26"/>
        <v>0</v>
      </c>
      <c r="R94" s="115">
        <f t="shared" si="27"/>
        <v>0</v>
      </c>
      <c r="S94" s="126" t="e">
        <f t="shared" si="28"/>
        <v>#DIV/0!</v>
      </c>
    </row>
    <row r="95" spans="3:19" s="30" customFormat="1" ht="42" customHeight="1" hidden="1">
      <c r="C95" s="4"/>
      <c r="D95" s="4"/>
      <c r="E95" s="4"/>
      <c r="F95" s="23" t="s">
        <v>105</v>
      </c>
      <c r="G95" s="104"/>
      <c r="H95" s="104"/>
      <c r="I95" s="107" t="e">
        <f t="shared" si="23"/>
        <v>#DIV/0!</v>
      </c>
      <c r="J95" s="104">
        <f t="shared" si="29"/>
        <v>0</v>
      </c>
      <c r="K95" s="104"/>
      <c r="L95" s="104"/>
      <c r="M95" s="104"/>
      <c r="N95" s="86"/>
      <c r="O95" s="127" t="e">
        <f>L95/J95*100</f>
        <v>#DIV/0!</v>
      </c>
      <c r="P95" s="105">
        <f t="shared" si="25"/>
        <v>0</v>
      </c>
      <c r="Q95" s="115">
        <f t="shared" si="26"/>
        <v>0</v>
      </c>
      <c r="R95" s="115">
        <f t="shared" si="27"/>
        <v>0</v>
      </c>
      <c r="S95" s="126" t="e">
        <f t="shared" si="28"/>
        <v>#DIV/0!</v>
      </c>
    </row>
    <row r="96" spans="3:19" s="30" customFormat="1" ht="60" customHeight="1">
      <c r="C96" s="4" t="s">
        <v>387</v>
      </c>
      <c r="D96" s="4" t="s">
        <v>388</v>
      </c>
      <c r="E96" s="4" t="s">
        <v>389</v>
      </c>
      <c r="F96" s="23" t="s">
        <v>390</v>
      </c>
      <c r="G96" s="104">
        <f>SUM(G97:G98)</f>
        <v>5622.7</v>
      </c>
      <c r="H96" s="104">
        <f>SUM(H97:H98)</f>
        <v>4113.8</v>
      </c>
      <c r="I96" s="107">
        <f t="shared" si="23"/>
        <v>73.16413822540773</v>
      </c>
      <c r="J96" s="104">
        <f>J97+J98</f>
        <v>114</v>
      </c>
      <c r="K96" s="104">
        <f>SUM(K97:K98)</f>
        <v>0</v>
      </c>
      <c r="L96" s="104">
        <f>SUM(L97:L98)</f>
        <v>110.1</v>
      </c>
      <c r="M96" s="104">
        <f>SUM(M97:M98)</f>
        <v>110.1</v>
      </c>
      <c r="N96" s="86">
        <f>SUM(N97:N98)</f>
        <v>0</v>
      </c>
      <c r="O96" s="127">
        <f>L96/J96*100</f>
        <v>96.57894736842105</v>
      </c>
      <c r="P96" s="105">
        <f t="shared" si="25"/>
        <v>5736.7</v>
      </c>
      <c r="Q96" s="115">
        <f t="shared" si="26"/>
        <v>4223.900000000001</v>
      </c>
      <c r="R96" s="115">
        <f t="shared" si="27"/>
        <v>-1512.7999999999993</v>
      </c>
      <c r="S96" s="126">
        <f t="shared" si="28"/>
        <v>73.62943852737638</v>
      </c>
    </row>
    <row r="97" spans="3:19" s="30" customFormat="1" ht="26.25" customHeight="1">
      <c r="C97" s="4"/>
      <c r="D97" s="4"/>
      <c r="E97" s="4"/>
      <c r="F97" s="23" t="s">
        <v>608</v>
      </c>
      <c r="G97" s="104">
        <v>5534.7</v>
      </c>
      <c r="H97" s="104">
        <v>4068</v>
      </c>
      <c r="I97" s="107">
        <f t="shared" si="23"/>
        <v>73.4999186947802</v>
      </c>
      <c r="J97" s="104">
        <f>K97+N97</f>
        <v>0</v>
      </c>
      <c r="K97" s="113"/>
      <c r="L97" s="104"/>
      <c r="M97" s="104"/>
      <c r="N97" s="86"/>
      <c r="O97" s="127"/>
      <c r="P97" s="105">
        <f t="shared" si="25"/>
        <v>5534.7</v>
      </c>
      <c r="Q97" s="115">
        <f t="shared" si="26"/>
        <v>4068</v>
      </c>
      <c r="R97" s="115">
        <f t="shared" si="27"/>
        <v>-1466.6999999999998</v>
      </c>
      <c r="S97" s="126">
        <f t="shared" si="28"/>
        <v>73.4999186947802</v>
      </c>
    </row>
    <row r="98" spans="3:19" s="30" customFormat="1" ht="27" customHeight="1">
      <c r="C98" s="4"/>
      <c r="D98" s="4"/>
      <c r="E98" s="4"/>
      <c r="F98" s="23" t="s">
        <v>39</v>
      </c>
      <c r="G98" s="104">
        <v>88</v>
      </c>
      <c r="H98" s="104">
        <v>45.8</v>
      </c>
      <c r="I98" s="107">
        <f t="shared" si="23"/>
        <v>52.04545454545454</v>
      </c>
      <c r="J98" s="104">
        <v>114</v>
      </c>
      <c r="K98" s="104"/>
      <c r="L98" s="104">
        <v>110.1</v>
      </c>
      <c r="M98" s="104">
        <v>110.1</v>
      </c>
      <c r="N98" s="86"/>
      <c r="O98" s="127">
        <f>L98/J98*100</f>
        <v>96.57894736842105</v>
      </c>
      <c r="P98" s="105">
        <f t="shared" si="25"/>
        <v>202</v>
      </c>
      <c r="Q98" s="115">
        <f t="shared" si="26"/>
        <v>155.89999999999998</v>
      </c>
      <c r="R98" s="115">
        <f t="shared" si="27"/>
        <v>-46.10000000000002</v>
      </c>
      <c r="S98" s="126">
        <f t="shared" si="28"/>
        <v>77.17821782178217</v>
      </c>
    </row>
    <row r="99" spans="3:19" s="6" customFormat="1" ht="69" customHeight="1">
      <c r="C99" s="41" t="s">
        <v>261</v>
      </c>
      <c r="D99" s="41" t="s">
        <v>204</v>
      </c>
      <c r="E99" s="41" t="s">
        <v>63</v>
      </c>
      <c r="F99" s="117" t="s">
        <v>540</v>
      </c>
      <c r="G99" s="104">
        <v>75</v>
      </c>
      <c r="H99" s="104">
        <v>61.7</v>
      </c>
      <c r="I99" s="107">
        <f t="shared" si="23"/>
        <v>82.26666666666667</v>
      </c>
      <c r="J99" s="104"/>
      <c r="K99" s="113"/>
      <c r="L99" s="104"/>
      <c r="M99" s="104"/>
      <c r="N99" s="86"/>
      <c r="O99" s="127"/>
      <c r="P99" s="105">
        <f t="shared" si="25"/>
        <v>75</v>
      </c>
      <c r="Q99" s="115">
        <f t="shared" si="26"/>
        <v>61.7</v>
      </c>
      <c r="R99" s="115">
        <f t="shared" si="27"/>
        <v>-13.299999999999997</v>
      </c>
      <c r="S99" s="126">
        <f t="shared" si="28"/>
        <v>82.26666666666667</v>
      </c>
    </row>
    <row r="100" spans="3:19" s="6" customFormat="1" ht="69" customHeight="1">
      <c r="C100" s="41" t="s">
        <v>262</v>
      </c>
      <c r="D100" s="41" t="s">
        <v>205</v>
      </c>
      <c r="E100" s="41" t="s">
        <v>63</v>
      </c>
      <c r="F100" s="23" t="s">
        <v>598</v>
      </c>
      <c r="G100" s="104">
        <v>260</v>
      </c>
      <c r="H100" s="104">
        <v>224</v>
      </c>
      <c r="I100" s="107">
        <f t="shared" si="23"/>
        <v>86.15384615384616</v>
      </c>
      <c r="J100" s="104"/>
      <c r="K100" s="113"/>
      <c r="L100" s="104"/>
      <c r="M100" s="104"/>
      <c r="N100" s="86"/>
      <c r="O100" s="127"/>
      <c r="P100" s="105">
        <f t="shared" si="25"/>
        <v>260</v>
      </c>
      <c r="Q100" s="115">
        <f t="shared" si="26"/>
        <v>224</v>
      </c>
      <c r="R100" s="115">
        <f t="shared" si="27"/>
        <v>-36</v>
      </c>
      <c r="S100" s="126">
        <f t="shared" si="28"/>
        <v>86.15384615384616</v>
      </c>
    </row>
    <row r="101" spans="3:19" s="6" customFormat="1" ht="63.75" customHeight="1">
      <c r="C101" s="41" t="s">
        <v>263</v>
      </c>
      <c r="D101" s="41" t="s">
        <v>206</v>
      </c>
      <c r="E101" s="41" t="s">
        <v>63</v>
      </c>
      <c r="F101" s="23" t="s">
        <v>541</v>
      </c>
      <c r="G101" s="104">
        <v>25.6</v>
      </c>
      <c r="H101" s="104">
        <v>25.6</v>
      </c>
      <c r="I101" s="107">
        <f t="shared" si="23"/>
        <v>100</v>
      </c>
      <c r="J101" s="104"/>
      <c r="K101" s="113"/>
      <c r="L101" s="104"/>
      <c r="M101" s="104"/>
      <c r="N101" s="86"/>
      <c r="O101" s="127"/>
      <c r="P101" s="105">
        <f t="shared" si="25"/>
        <v>25.6</v>
      </c>
      <c r="Q101" s="115">
        <f t="shared" si="26"/>
        <v>25.6</v>
      </c>
      <c r="R101" s="115">
        <f t="shared" si="27"/>
        <v>0</v>
      </c>
      <c r="S101" s="126">
        <f t="shared" si="28"/>
        <v>100</v>
      </c>
    </row>
    <row r="102" spans="3:19" s="6" customFormat="1" ht="51" customHeight="1">
      <c r="C102" s="41" t="s">
        <v>264</v>
      </c>
      <c r="D102" s="41" t="s">
        <v>208</v>
      </c>
      <c r="E102" s="41" t="s">
        <v>63</v>
      </c>
      <c r="F102" s="23" t="s">
        <v>207</v>
      </c>
      <c r="G102" s="104">
        <f>SUM(G103:G105)</f>
        <v>707.6</v>
      </c>
      <c r="H102" s="104">
        <f>SUM(H103:H105)</f>
        <v>510.1</v>
      </c>
      <c r="I102" s="107">
        <f t="shared" si="23"/>
        <v>72.08875070661391</v>
      </c>
      <c r="J102" s="104"/>
      <c r="K102" s="113"/>
      <c r="L102" s="104"/>
      <c r="M102" s="104"/>
      <c r="N102" s="86"/>
      <c r="O102" s="127"/>
      <c r="P102" s="105">
        <f t="shared" si="25"/>
        <v>707.6</v>
      </c>
      <c r="Q102" s="115">
        <f t="shared" si="26"/>
        <v>510.1</v>
      </c>
      <c r="R102" s="115">
        <f t="shared" si="27"/>
        <v>-197.5</v>
      </c>
      <c r="S102" s="126">
        <f t="shared" si="28"/>
        <v>72.08875070661391</v>
      </c>
    </row>
    <row r="103" spans="3:19" s="6" customFormat="1" ht="44.25" customHeight="1" hidden="1">
      <c r="C103" s="41"/>
      <c r="D103" s="41"/>
      <c r="E103" s="41"/>
      <c r="F103" s="23" t="s">
        <v>125</v>
      </c>
      <c r="G103" s="104"/>
      <c r="H103" s="104"/>
      <c r="I103" s="107" t="e">
        <f t="shared" si="23"/>
        <v>#DIV/0!</v>
      </c>
      <c r="J103" s="104"/>
      <c r="K103" s="113"/>
      <c r="L103" s="104"/>
      <c r="M103" s="104"/>
      <c r="N103" s="86"/>
      <c r="O103" s="127"/>
      <c r="P103" s="105">
        <f t="shared" si="25"/>
        <v>0</v>
      </c>
      <c r="Q103" s="115">
        <f t="shared" si="26"/>
        <v>0</v>
      </c>
      <c r="R103" s="115">
        <f t="shared" si="27"/>
        <v>0</v>
      </c>
      <c r="S103" s="126" t="e">
        <f t="shared" si="28"/>
        <v>#DIV/0!</v>
      </c>
    </row>
    <row r="104" spans="3:19" s="6" customFormat="1" ht="44.25" customHeight="1">
      <c r="C104" s="41"/>
      <c r="D104" s="41"/>
      <c r="E104" s="41"/>
      <c r="F104" s="23" t="s">
        <v>557</v>
      </c>
      <c r="G104" s="104">
        <v>0.1</v>
      </c>
      <c r="H104" s="104">
        <v>0.1</v>
      </c>
      <c r="I104" s="107">
        <f t="shared" si="23"/>
        <v>100</v>
      </c>
      <c r="J104" s="104"/>
      <c r="K104" s="113"/>
      <c r="L104" s="104"/>
      <c r="M104" s="104"/>
      <c r="N104" s="86"/>
      <c r="O104" s="127"/>
      <c r="P104" s="105">
        <f t="shared" si="25"/>
        <v>0.1</v>
      </c>
      <c r="Q104" s="115">
        <f t="shared" si="26"/>
        <v>0.1</v>
      </c>
      <c r="R104" s="115">
        <f t="shared" si="27"/>
        <v>0</v>
      </c>
      <c r="S104" s="126">
        <f t="shared" si="28"/>
        <v>100</v>
      </c>
    </row>
    <row r="105" spans="3:19" s="6" customFormat="1" ht="83.25" customHeight="1">
      <c r="C105" s="41"/>
      <c r="D105" s="41"/>
      <c r="E105" s="41"/>
      <c r="F105" s="23" t="s">
        <v>609</v>
      </c>
      <c r="G105" s="104">
        <v>707.5</v>
      </c>
      <c r="H105" s="104">
        <v>510</v>
      </c>
      <c r="I105" s="107">
        <f t="shared" si="23"/>
        <v>72.08480565371025</v>
      </c>
      <c r="J105" s="104"/>
      <c r="K105" s="113"/>
      <c r="L105" s="104"/>
      <c r="M105" s="104"/>
      <c r="N105" s="86"/>
      <c r="O105" s="127"/>
      <c r="P105" s="105">
        <f t="shared" si="25"/>
        <v>707.5</v>
      </c>
      <c r="Q105" s="115">
        <f t="shared" si="26"/>
        <v>510</v>
      </c>
      <c r="R105" s="115">
        <f t="shared" si="27"/>
        <v>-197.5</v>
      </c>
      <c r="S105" s="126">
        <f t="shared" si="28"/>
        <v>72.08480565371025</v>
      </c>
    </row>
    <row r="106" spans="3:19" s="6" customFormat="1" ht="73.5" customHeight="1">
      <c r="C106" s="41" t="s">
        <v>381</v>
      </c>
      <c r="D106" s="41" t="s">
        <v>209</v>
      </c>
      <c r="E106" s="41" t="s">
        <v>63</v>
      </c>
      <c r="F106" s="23" t="s">
        <v>542</v>
      </c>
      <c r="G106" s="104">
        <v>360</v>
      </c>
      <c r="H106" s="104">
        <v>95</v>
      </c>
      <c r="I106" s="107">
        <f t="shared" si="23"/>
        <v>26.38888888888889</v>
      </c>
      <c r="J106" s="104"/>
      <c r="K106" s="113"/>
      <c r="L106" s="104"/>
      <c r="M106" s="104"/>
      <c r="N106" s="86"/>
      <c r="O106" s="127"/>
      <c r="P106" s="105">
        <f t="shared" si="25"/>
        <v>360</v>
      </c>
      <c r="Q106" s="115">
        <f t="shared" si="26"/>
        <v>95</v>
      </c>
      <c r="R106" s="115">
        <f t="shared" si="27"/>
        <v>-265</v>
      </c>
      <c r="S106" s="126">
        <f t="shared" si="28"/>
        <v>26.38888888888889</v>
      </c>
    </row>
    <row r="107" spans="3:19" s="6" customFormat="1" ht="66" customHeight="1">
      <c r="C107" s="41" t="s">
        <v>563</v>
      </c>
      <c r="D107" s="41" t="s">
        <v>564</v>
      </c>
      <c r="E107" s="41" t="s">
        <v>63</v>
      </c>
      <c r="F107" s="23" t="s">
        <v>610</v>
      </c>
      <c r="G107" s="104">
        <v>956</v>
      </c>
      <c r="H107" s="104">
        <v>606.1</v>
      </c>
      <c r="I107" s="107">
        <f t="shared" si="23"/>
        <v>63.39958158995817</v>
      </c>
      <c r="J107" s="104"/>
      <c r="K107" s="113"/>
      <c r="L107" s="104"/>
      <c r="M107" s="104"/>
      <c r="N107" s="86"/>
      <c r="O107" s="127"/>
      <c r="P107" s="105">
        <f t="shared" si="25"/>
        <v>956</v>
      </c>
      <c r="Q107" s="115">
        <f t="shared" si="26"/>
        <v>606.1</v>
      </c>
      <c r="R107" s="115">
        <f t="shared" si="27"/>
        <v>-349.9</v>
      </c>
      <c r="S107" s="126">
        <f t="shared" si="28"/>
        <v>63.39958158995817</v>
      </c>
    </row>
    <row r="108" spans="3:19" s="30" customFormat="1" ht="48.75" customHeight="1" hidden="1">
      <c r="C108" s="41" t="s">
        <v>393</v>
      </c>
      <c r="D108" s="41" t="s">
        <v>391</v>
      </c>
      <c r="E108" s="41" t="s">
        <v>63</v>
      </c>
      <c r="F108" s="23" t="s">
        <v>394</v>
      </c>
      <c r="G108" s="104"/>
      <c r="H108" s="104"/>
      <c r="I108" s="107" t="e">
        <f t="shared" si="23"/>
        <v>#DIV/0!</v>
      </c>
      <c r="J108" s="104"/>
      <c r="K108" s="104"/>
      <c r="L108" s="104"/>
      <c r="M108" s="104"/>
      <c r="N108" s="86"/>
      <c r="O108" s="127"/>
      <c r="P108" s="105">
        <f t="shared" si="25"/>
        <v>0</v>
      </c>
      <c r="Q108" s="115">
        <f t="shared" si="26"/>
        <v>0</v>
      </c>
      <c r="R108" s="115">
        <f t="shared" si="27"/>
        <v>0</v>
      </c>
      <c r="S108" s="126" t="e">
        <f t="shared" si="28"/>
        <v>#DIV/0!</v>
      </c>
    </row>
    <row r="109" spans="3:19" s="30" customFormat="1" ht="30.75" customHeight="1">
      <c r="C109" s="41" t="s">
        <v>392</v>
      </c>
      <c r="D109" s="41" t="s">
        <v>456</v>
      </c>
      <c r="E109" s="41" t="s">
        <v>63</v>
      </c>
      <c r="F109" s="23" t="s">
        <v>395</v>
      </c>
      <c r="G109" s="104">
        <f>SUM(G110:G114)</f>
        <v>1033.5</v>
      </c>
      <c r="H109" s="104">
        <f>SUM(H110:H114)</f>
        <v>720.8</v>
      </c>
      <c r="I109" s="107">
        <f t="shared" si="23"/>
        <v>69.74358974358974</v>
      </c>
      <c r="J109" s="104"/>
      <c r="K109" s="104">
        <f>SUM(K110:K114)</f>
        <v>0</v>
      </c>
      <c r="L109" s="104">
        <f>SUM(L110:L114)</f>
        <v>0</v>
      </c>
      <c r="M109" s="104">
        <f>SUM(M110:M114)</f>
        <v>0</v>
      </c>
      <c r="N109" s="86">
        <f>SUM(N110:N114)</f>
        <v>0</v>
      </c>
      <c r="O109" s="127"/>
      <c r="P109" s="105">
        <f t="shared" si="25"/>
        <v>1033.5</v>
      </c>
      <c r="Q109" s="115">
        <f t="shared" si="26"/>
        <v>720.8</v>
      </c>
      <c r="R109" s="115">
        <f t="shared" si="27"/>
        <v>-312.70000000000005</v>
      </c>
      <c r="S109" s="126">
        <f t="shared" si="28"/>
        <v>69.74358974358974</v>
      </c>
    </row>
    <row r="110" spans="3:19" s="6" customFormat="1" ht="56.25" customHeight="1">
      <c r="C110" s="41"/>
      <c r="D110" s="26"/>
      <c r="E110" s="26"/>
      <c r="F110" s="27" t="s">
        <v>543</v>
      </c>
      <c r="G110" s="104">
        <v>190</v>
      </c>
      <c r="H110" s="104">
        <v>101.8</v>
      </c>
      <c r="I110" s="107">
        <f t="shared" si="23"/>
        <v>53.57894736842105</v>
      </c>
      <c r="J110" s="104"/>
      <c r="K110" s="113"/>
      <c r="L110" s="104"/>
      <c r="M110" s="104"/>
      <c r="N110" s="86"/>
      <c r="O110" s="127"/>
      <c r="P110" s="105">
        <f t="shared" si="25"/>
        <v>190</v>
      </c>
      <c r="Q110" s="115">
        <f t="shared" si="26"/>
        <v>101.8</v>
      </c>
      <c r="R110" s="115">
        <f t="shared" si="27"/>
        <v>-88.2</v>
      </c>
      <c r="S110" s="126">
        <f t="shared" si="28"/>
        <v>53.57894736842105</v>
      </c>
    </row>
    <row r="111" spans="3:19" s="6" customFormat="1" ht="81" customHeight="1">
      <c r="C111" s="41"/>
      <c r="D111" s="26"/>
      <c r="E111" s="41"/>
      <c r="F111" s="27" t="s">
        <v>544</v>
      </c>
      <c r="G111" s="104">
        <v>58.9</v>
      </c>
      <c r="H111" s="104">
        <v>27.7</v>
      </c>
      <c r="I111" s="107">
        <f t="shared" si="23"/>
        <v>47.02886247877759</v>
      </c>
      <c r="J111" s="104"/>
      <c r="K111" s="113"/>
      <c r="L111" s="104"/>
      <c r="M111" s="104"/>
      <c r="N111" s="86"/>
      <c r="O111" s="127"/>
      <c r="P111" s="105">
        <f t="shared" si="25"/>
        <v>58.9</v>
      </c>
      <c r="Q111" s="115">
        <f t="shared" si="26"/>
        <v>27.7</v>
      </c>
      <c r="R111" s="115">
        <f t="shared" si="27"/>
        <v>-31.2</v>
      </c>
      <c r="S111" s="126">
        <f t="shared" si="28"/>
        <v>47.02886247877759</v>
      </c>
    </row>
    <row r="112" spans="3:19" s="6" customFormat="1" ht="66" customHeight="1">
      <c r="C112" s="41"/>
      <c r="D112" s="26"/>
      <c r="E112" s="26"/>
      <c r="F112" s="27" t="s">
        <v>545</v>
      </c>
      <c r="G112" s="104">
        <v>730</v>
      </c>
      <c r="H112" s="104">
        <v>536.8</v>
      </c>
      <c r="I112" s="107">
        <f t="shared" si="23"/>
        <v>73.53424657534245</v>
      </c>
      <c r="J112" s="104"/>
      <c r="K112" s="113"/>
      <c r="L112" s="104"/>
      <c r="M112" s="104"/>
      <c r="N112" s="86"/>
      <c r="O112" s="127"/>
      <c r="P112" s="105">
        <f t="shared" si="25"/>
        <v>730</v>
      </c>
      <c r="Q112" s="115">
        <f t="shared" si="26"/>
        <v>536.8</v>
      </c>
      <c r="R112" s="115">
        <f t="shared" si="27"/>
        <v>-193.20000000000005</v>
      </c>
      <c r="S112" s="126">
        <f t="shared" si="28"/>
        <v>73.53424657534245</v>
      </c>
    </row>
    <row r="113" spans="3:19" s="6" customFormat="1" ht="77.25" customHeight="1">
      <c r="C113" s="41"/>
      <c r="D113" s="26"/>
      <c r="E113" s="41"/>
      <c r="F113" s="27" t="s">
        <v>546</v>
      </c>
      <c r="G113" s="104">
        <v>54.6</v>
      </c>
      <c r="H113" s="104">
        <v>54.5</v>
      </c>
      <c r="I113" s="107">
        <f t="shared" si="23"/>
        <v>99.81684981684981</v>
      </c>
      <c r="J113" s="104"/>
      <c r="K113" s="113"/>
      <c r="L113" s="104"/>
      <c r="M113" s="104"/>
      <c r="N113" s="86"/>
      <c r="O113" s="127"/>
      <c r="P113" s="105">
        <f t="shared" si="25"/>
        <v>54.6</v>
      </c>
      <c r="Q113" s="115">
        <f t="shared" si="26"/>
        <v>54.5</v>
      </c>
      <c r="R113" s="115">
        <f t="shared" si="27"/>
        <v>-0.10000000000000142</v>
      </c>
      <c r="S113" s="126">
        <f t="shared" si="28"/>
        <v>99.81684981684981</v>
      </c>
    </row>
    <row r="114" spans="3:19" s="6" customFormat="1" ht="64.5" customHeight="1" hidden="1">
      <c r="C114" s="41"/>
      <c r="D114" s="26"/>
      <c r="E114" s="41"/>
      <c r="F114" s="27" t="s">
        <v>611</v>
      </c>
      <c r="G114" s="104"/>
      <c r="H114" s="104"/>
      <c r="I114" s="107" t="e">
        <f t="shared" si="23"/>
        <v>#DIV/0!</v>
      </c>
      <c r="J114" s="104">
        <f>K114+N114</f>
        <v>0</v>
      </c>
      <c r="K114" s="113"/>
      <c r="L114" s="104"/>
      <c r="M114" s="104"/>
      <c r="N114" s="86"/>
      <c r="O114" s="127" t="e">
        <f>L114/J114*100</f>
        <v>#DIV/0!</v>
      </c>
      <c r="P114" s="105">
        <f t="shared" si="25"/>
        <v>0</v>
      </c>
      <c r="Q114" s="115">
        <f t="shared" si="26"/>
        <v>0</v>
      </c>
      <c r="R114" s="115">
        <f t="shared" si="27"/>
        <v>0</v>
      </c>
      <c r="S114" s="126" t="e">
        <f t="shared" si="28"/>
        <v>#DIV/0!</v>
      </c>
    </row>
    <row r="115" spans="3:19" s="38" customFormat="1" ht="25.5" customHeight="1">
      <c r="C115" s="68"/>
      <c r="D115" s="24"/>
      <c r="E115" s="68"/>
      <c r="F115" s="25" t="s">
        <v>296</v>
      </c>
      <c r="G115" s="105">
        <f>G116+G117+G118+G119+G120+G122+G124+G126+G128+G129+G130+G131+G132+G133+G134+G135+G136+G137+G138+G139+G140+G141+G142+G145+G148+G150+G152+G154+G157+G163+G166+G167+G171</f>
        <v>76443.1</v>
      </c>
      <c r="H115" s="105">
        <f>H116+H117+H118+H119+H120+H122+H124+H126+H128+H129+H130+H131+H132+H133+H134+H135+H136+H137+H138+H139+H140+H141+H142+H145+H148+H150+H152+H154+H157+H163+H166+H167+H171</f>
        <v>46077.79999999998</v>
      </c>
      <c r="I115" s="107">
        <f t="shared" si="23"/>
        <v>60.27725196911163</v>
      </c>
      <c r="J115" s="105">
        <f>J116+J117+J118+J119+J120+J122+J124+J126+J128+J129+J130+J131+J132+J133+J134+J135+J136+J137+J138+J139+J140+J141+J142+J145+J148+J150+J152+J154+J157+J163+J166+J167+J171</f>
        <v>189.6</v>
      </c>
      <c r="K115" s="105">
        <f>K116+K117+K118+K119+K120+K122+K124+K126+K128+K129+K130+K131+K132+K133+K134+K135+K136+K137+K138+K139+K140+K141+K142+K145+K148+K150+K152+K154+K157+K163+K166+K167+K171</f>
        <v>97.06</v>
      </c>
      <c r="L115" s="105">
        <f>L116+L117+L118+L119+L120+L122+L124+L126+L128+L129+L130+L131+L132+L133+L134+L135+L136+L137+L138+L139+L140+L141+L142+L145+L148+L150+L152+L154+L157+L163+L166+L167+L171</f>
        <v>180</v>
      </c>
      <c r="M115" s="105">
        <f>M116+M117+M118+M119+M120+M122+M124+M126+M128+M129+M130+M131+M132+M133+M134+M135+M136+M137+M138+M139+M140+M141+M142+M145+M148+M150+M152+M154+M157+M163+M166+M167+M171</f>
        <v>20</v>
      </c>
      <c r="N115" s="88" t="e">
        <f>#REF!+#REF!+#REF!+#REF!+N135+#REF!+N141+#REF!+#REF!+N150+N154+#REF!+#REF!+N171+N174+N166+#REF!</f>
        <v>#REF!</v>
      </c>
      <c r="O115" s="127">
        <f>L115/J115*100</f>
        <v>94.9367088607595</v>
      </c>
      <c r="P115" s="105">
        <f t="shared" si="25"/>
        <v>76632.70000000001</v>
      </c>
      <c r="Q115" s="115">
        <f t="shared" si="26"/>
        <v>46257.79999999998</v>
      </c>
      <c r="R115" s="115">
        <f t="shared" si="27"/>
        <v>-30374.90000000003</v>
      </c>
      <c r="S115" s="126">
        <f t="shared" si="28"/>
        <v>60.36300430495073</v>
      </c>
    </row>
    <row r="116" spans="3:19" s="6" customFormat="1" ht="75" customHeight="1">
      <c r="C116" s="26" t="s">
        <v>210</v>
      </c>
      <c r="D116" s="26" t="s">
        <v>109</v>
      </c>
      <c r="E116" s="26" t="s">
        <v>65</v>
      </c>
      <c r="F116" s="34" t="s">
        <v>379</v>
      </c>
      <c r="G116" s="104">
        <v>4005</v>
      </c>
      <c r="H116" s="104">
        <v>3236.7</v>
      </c>
      <c r="I116" s="107">
        <f t="shared" si="23"/>
        <v>80.81647940074906</v>
      </c>
      <c r="J116" s="104">
        <f>K116+N116</f>
        <v>0</v>
      </c>
      <c r="K116" s="112"/>
      <c r="L116" s="104"/>
      <c r="M116" s="104"/>
      <c r="N116" s="86"/>
      <c r="O116" s="127"/>
      <c r="P116" s="105">
        <f t="shared" si="25"/>
        <v>4005</v>
      </c>
      <c r="Q116" s="115">
        <f t="shared" si="26"/>
        <v>3236.7</v>
      </c>
      <c r="R116" s="115">
        <f t="shared" si="27"/>
        <v>-768.3000000000002</v>
      </c>
      <c r="S116" s="126">
        <f t="shared" si="28"/>
        <v>80.81647940074906</v>
      </c>
    </row>
    <row r="117" spans="3:19" s="30" customFormat="1" ht="57.75" customHeight="1">
      <c r="C117" s="26" t="s">
        <v>211</v>
      </c>
      <c r="D117" s="26" t="s">
        <v>64</v>
      </c>
      <c r="E117" s="26" t="s">
        <v>62</v>
      </c>
      <c r="F117" s="27" t="s">
        <v>380</v>
      </c>
      <c r="G117" s="104">
        <v>11715.8</v>
      </c>
      <c r="H117" s="104">
        <v>4527.3</v>
      </c>
      <c r="I117" s="107">
        <f t="shared" si="23"/>
        <v>38.642687652571745</v>
      </c>
      <c r="J117" s="104">
        <f>K117+N117</f>
        <v>0</v>
      </c>
      <c r="K117" s="112"/>
      <c r="L117" s="104"/>
      <c r="M117" s="104"/>
      <c r="N117" s="86"/>
      <c r="O117" s="127"/>
      <c r="P117" s="105">
        <f t="shared" si="25"/>
        <v>11715.8</v>
      </c>
      <c r="Q117" s="115">
        <f t="shared" si="26"/>
        <v>4527.3</v>
      </c>
      <c r="R117" s="115">
        <f t="shared" si="27"/>
        <v>-7188.499999999999</v>
      </c>
      <c r="S117" s="126">
        <f t="shared" si="28"/>
        <v>38.642687652571745</v>
      </c>
    </row>
    <row r="118" spans="3:19" s="30" customFormat="1" ht="85.5" customHeight="1">
      <c r="C118" s="26" t="s">
        <v>212</v>
      </c>
      <c r="D118" s="26" t="s">
        <v>66</v>
      </c>
      <c r="E118" s="26" t="s">
        <v>65</v>
      </c>
      <c r="F118" s="34" t="s">
        <v>377</v>
      </c>
      <c r="G118" s="104">
        <v>1.7</v>
      </c>
      <c r="H118" s="104">
        <v>1.2</v>
      </c>
      <c r="I118" s="107">
        <f t="shared" si="23"/>
        <v>70.58823529411765</v>
      </c>
      <c r="J118" s="104">
        <f>K118+N118</f>
        <v>0</v>
      </c>
      <c r="K118" s="112"/>
      <c r="L118" s="104"/>
      <c r="M118" s="104"/>
      <c r="N118" s="86"/>
      <c r="O118" s="127"/>
      <c r="P118" s="105">
        <f t="shared" si="25"/>
        <v>1.7</v>
      </c>
      <c r="Q118" s="115">
        <f t="shared" si="26"/>
        <v>1.2</v>
      </c>
      <c r="R118" s="115">
        <f t="shared" si="27"/>
        <v>-0.5</v>
      </c>
      <c r="S118" s="126">
        <f t="shared" si="28"/>
        <v>70.58823529411765</v>
      </c>
    </row>
    <row r="119" spans="3:19" s="35" customFormat="1" ht="73.5" customHeight="1">
      <c r="C119" s="26" t="s">
        <v>213</v>
      </c>
      <c r="D119" s="26" t="s">
        <v>67</v>
      </c>
      <c r="E119" s="26" t="s">
        <v>62</v>
      </c>
      <c r="F119" s="27" t="s">
        <v>378</v>
      </c>
      <c r="G119" s="104">
        <v>0.7</v>
      </c>
      <c r="H119" s="104">
        <v>0.2</v>
      </c>
      <c r="I119" s="107">
        <f t="shared" si="23"/>
        <v>28.571428571428577</v>
      </c>
      <c r="J119" s="104">
        <f>K119+N119</f>
        <v>0</v>
      </c>
      <c r="K119" s="112"/>
      <c r="L119" s="104"/>
      <c r="M119" s="104"/>
      <c r="N119" s="86"/>
      <c r="O119" s="127"/>
      <c r="P119" s="105">
        <f t="shared" si="25"/>
        <v>0.7</v>
      </c>
      <c r="Q119" s="115">
        <f t="shared" si="26"/>
        <v>0.2</v>
      </c>
      <c r="R119" s="115">
        <f t="shared" si="27"/>
        <v>-0.49999999999999994</v>
      </c>
      <c r="S119" s="126">
        <f t="shared" si="28"/>
        <v>28.571428571428577</v>
      </c>
    </row>
    <row r="120" spans="2:19" s="35" customFormat="1" ht="40.5" customHeight="1">
      <c r="B120" s="66"/>
      <c r="C120" s="26" t="s">
        <v>216</v>
      </c>
      <c r="D120" s="26" t="s">
        <v>122</v>
      </c>
      <c r="E120" s="26" t="s">
        <v>65</v>
      </c>
      <c r="F120" s="27" t="s">
        <v>214</v>
      </c>
      <c r="G120" s="104">
        <f>G121</f>
        <v>18</v>
      </c>
      <c r="H120" s="104">
        <f aca="true" t="shared" si="30" ref="H120:N122">H121</f>
        <v>9.6</v>
      </c>
      <c r="I120" s="107">
        <f t="shared" si="23"/>
        <v>53.333333333333336</v>
      </c>
      <c r="J120" s="104">
        <f aca="true" t="shared" si="31" ref="J120:J125">K120+N120</f>
        <v>0</v>
      </c>
      <c r="K120" s="104">
        <f t="shared" si="30"/>
        <v>0</v>
      </c>
      <c r="L120" s="104">
        <f t="shared" si="30"/>
        <v>0</v>
      </c>
      <c r="M120" s="104">
        <f t="shared" si="30"/>
        <v>0</v>
      </c>
      <c r="N120" s="86">
        <f t="shared" si="30"/>
        <v>0</v>
      </c>
      <c r="O120" s="127"/>
      <c r="P120" s="105">
        <f t="shared" si="25"/>
        <v>18</v>
      </c>
      <c r="Q120" s="115">
        <f t="shared" si="26"/>
        <v>9.6</v>
      </c>
      <c r="R120" s="115">
        <f t="shared" si="27"/>
        <v>-8.4</v>
      </c>
      <c r="S120" s="126">
        <f t="shared" si="28"/>
        <v>53.333333333333336</v>
      </c>
    </row>
    <row r="121" spans="2:19" s="50" customFormat="1" ht="40.5" customHeight="1">
      <c r="B121" s="53"/>
      <c r="C121" s="26"/>
      <c r="D121" s="26"/>
      <c r="E121" s="26"/>
      <c r="F121" s="34" t="s">
        <v>477</v>
      </c>
      <c r="G121" s="104">
        <v>18</v>
      </c>
      <c r="H121" s="104">
        <v>9.6</v>
      </c>
      <c r="I121" s="107">
        <f t="shared" si="23"/>
        <v>53.333333333333336</v>
      </c>
      <c r="J121" s="104">
        <f t="shared" si="31"/>
        <v>0</v>
      </c>
      <c r="K121" s="112"/>
      <c r="L121" s="104"/>
      <c r="M121" s="104"/>
      <c r="N121" s="86"/>
      <c r="O121" s="127"/>
      <c r="P121" s="105">
        <f t="shared" si="25"/>
        <v>18</v>
      </c>
      <c r="Q121" s="115">
        <f t="shared" si="26"/>
        <v>9.6</v>
      </c>
      <c r="R121" s="115">
        <f t="shared" si="27"/>
        <v>-8.4</v>
      </c>
      <c r="S121" s="126">
        <f t="shared" si="28"/>
        <v>53.333333333333336</v>
      </c>
    </row>
    <row r="122" spans="2:19" s="35" customFormat="1" ht="42.75" customHeight="1">
      <c r="B122" s="66"/>
      <c r="C122" s="26" t="s">
        <v>217</v>
      </c>
      <c r="D122" s="26" t="s">
        <v>218</v>
      </c>
      <c r="E122" s="26" t="s">
        <v>60</v>
      </c>
      <c r="F122" s="27" t="s">
        <v>215</v>
      </c>
      <c r="G122" s="104">
        <f>G123</f>
        <v>236.3</v>
      </c>
      <c r="H122" s="104">
        <f t="shared" si="30"/>
        <v>115.5</v>
      </c>
      <c r="I122" s="107">
        <f t="shared" si="23"/>
        <v>48.87854422344477</v>
      </c>
      <c r="J122" s="104">
        <f t="shared" si="31"/>
        <v>0</v>
      </c>
      <c r="K122" s="104">
        <f t="shared" si="30"/>
        <v>0</v>
      </c>
      <c r="L122" s="104">
        <f t="shared" si="30"/>
        <v>0</v>
      </c>
      <c r="M122" s="104">
        <f t="shared" si="30"/>
        <v>0</v>
      </c>
      <c r="N122" s="86">
        <f t="shared" si="30"/>
        <v>0</v>
      </c>
      <c r="O122" s="127"/>
      <c r="P122" s="105">
        <f t="shared" si="25"/>
        <v>236.3</v>
      </c>
      <c r="Q122" s="115">
        <f t="shared" si="26"/>
        <v>115.5</v>
      </c>
      <c r="R122" s="115">
        <f t="shared" si="27"/>
        <v>-120.80000000000001</v>
      </c>
      <c r="S122" s="126">
        <f t="shared" si="28"/>
        <v>48.87854422344477</v>
      </c>
    </row>
    <row r="123" spans="2:19" s="35" customFormat="1" ht="42.75" customHeight="1">
      <c r="B123" s="66"/>
      <c r="C123" s="26"/>
      <c r="D123" s="26"/>
      <c r="E123" s="26"/>
      <c r="F123" s="27" t="s">
        <v>477</v>
      </c>
      <c r="G123" s="104">
        <v>236.3</v>
      </c>
      <c r="H123" s="104">
        <v>115.5</v>
      </c>
      <c r="I123" s="107">
        <f t="shared" si="23"/>
        <v>48.87854422344477</v>
      </c>
      <c r="J123" s="104">
        <f t="shared" si="31"/>
        <v>0</v>
      </c>
      <c r="K123" s="112"/>
      <c r="L123" s="104"/>
      <c r="M123" s="104"/>
      <c r="N123" s="86"/>
      <c r="O123" s="127"/>
      <c r="P123" s="105">
        <f t="shared" si="25"/>
        <v>236.3</v>
      </c>
      <c r="Q123" s="115">
        <f t="shared" si="26"/>
        <v>115.5</v>
      </c>
      <c r="R123" s="115">
        <f t="shared" si="27"/>
        <v>-120.80000000000001</v>
      </c>
      <c r="S123" s="126">
        <f t="shared" si="28"/>
        <v>48.87854422344477</v>
      </c>
    </row>
    <row r="124" spans="3:19" s="30" customFormat="1" ht="60.75" customHeight="1">
      <c r="C124" s="26" t="s">
        <v>220</v>
      </c>
      <c r="D124" s="26" t="s">
        <v>111</v>
      </c>
      <c r="E124" s="26" t="s">
        <v>60</v>
      </c>
      <c r="F124" s="34" t="s">
        <v>219</v>
      </c>
      <c r="G124" s="104">
        <f>G125</f>
        <v>2447.2</v>
      </c>
      <c r="H124" s="104">
        <f>H125</f>
        <v>1775.1</v>
      </c>
      <c r="I124" s="107">
        <f t="shared" si="23"/>
        <v>72.53595946387709</v>
      </c>
      <c r="J124" s="104">
        <f t="shared" si="31"/>
        <v>0</v>
      </c>
      <c r="K124" s="104">
        <f>SUM(K125:K125)</f>
        <v>0</v>
      </c>
      <c r="L124" s="104">
        <f>SUM(L125:L125)</f>
        <v>0</v>
      </c>
      <c r="M124" s="104">
        <f>SUM(M125:M125)</f>
        <v>0</v>
      </c>
      <c r="N124" s="86">
        <f>SUM(N125:N125)</f>
        <v>0</v>
      </c>
      <c r="O124" s="127"/>
      <c r="P124" s="105">
        <f t="shared" si="25"/>
        <v>2447.2</v>
      </c>
      <c r="Q124" s="115">
        <f t="shared" si="26"/>
        <v>1775.1</v>
      </c>
      <c r="R124" s="115">
        <f t="shared" si="27"/>
        <v>-672.0999999999999</v>
      </c>
      <c r="S124" s="126">
        <f t="shared" si="28"/>
        <v>72.53595946387709</v>
      </c>
    </row>
    <row r="125" spans="3:19" s="30" customFormat="1" ht="40.5" customHeight="1">
      <c r="C125" s="26"/>
      <c r="D125" s="26"/>
      <c r="E125" s="26"/>
      <c r="F125" s="27" t="s">
        <v>477</v>
      </c>
      <c r="G125" s="104">
        <v>2447.2</v>
      </c>
      <c r="H125" s="104">
        <v>1775.1</v>
      </c>
      <c r="I125" s="107">
        <f t="shared" si="23"/>
        <v>72.53595946387709</v>
      </c>
      <c r="J125" s="104">
        <f t="shared" si="31"/>
        <v>0</v>
      </c>
      <c r="K125" s="112"/>
      <c r="L125" s="104"/>
      <c r="M125" s="104"/>
      <c r="N125" s="86"/>
      <c r="O125" s="127"/>
      <c r="P125" s="105">
        <f t="shared" si="25"/>
        <v>2447.2</v>
      </c>
      <c r="Q125" s="115">
        <f t="shared" si="26"/>
        <v>1775.1</v>
      </c>
      <c r="R125" s="115">
        <f t="shared" si="27"/>
        <v>-672.0999999999999</v>
      </c>
      <c r="S125" s="126">
        <f t="shared" si="28"/>
        <v>72.53595946387709</v>
      </c>
    </row>
    <row r="126" spans="3:19" s="30" customFormat="1" ht="46.5" customHeight="1">
      <c r="C126" s="26" t="s">
        <v>222</v>
      </c>
      <c r="D126" s="26" t="s">
        <v>68</v>
      </c>
      <c r="E126" s="26" t="s">
        <v>60</v>
      </c>
      <c r="F126" s="34" t="s">
        <v>221</v>
      </c>
      <c r="G126" s="104">
        <f aca="true" t="shared" si="32" ref="G126:N126">G127</f>
        <v>80</v>
      </c>
      <c r="H126" s="104">
        <f t="shared" si="32"/>
        <v>58.6</v>
      </c>
      <c r="I126" s="107">
        <f t="shared" si="23"/>
        <v>73.25</v>
      </c>
      <c r="J126" s="104">
        <f t="shared" si="32"/>
        <v>0</v>
      </c>
      <c r="K126" s="104">
        <f t="shared" si="32"/>
        <v>0</v>
      </c>
      <c r="L126" s="104">
        <f t="shared" si="32"/>
        <v>0</v>
      </c>
      <c r="M126" s="104">
        <f t="shared" si="32"/>
        <v>0</v>
      </c>
      <c r="N126" s="86">
        <f t="shared" si="32"/>
        <v>0</v>
      </c>
      <c r="O126" s="127"/>
      <c r="P126" s="105">
        <f t="shared" si="25"/>
        <v>80</v>
      </c>
      <c r="Q126" s="115">
        <f t="shared" si="26"/>
        <v>58.6</v>
      </c>
      <c r="R126" s="115">
        <f t="shared" si="27"/>
        <v>-21.4</v>
      </c>
      <c r="S126" s="126">
        <f t="shared" si="28"/>
        <v>73.25</v>
      </c>
    </row>
    <row r="127" spans="3:19" s="30" customFormat="1" ht="42" customHeight="1">
      <c r="C127" s="26"/>
      <c r="D127" s="26"/>
      <c r="E127" s="26"/>
      <c r="F127" s="27" t="s">
        <v>477</v>
      </c>
      <c r="G127" s="104">
        <v>80</v>
      </c>
      <c r="H127" s="104">
        <v>58.6</v>
      </c>
      <c r="I127" s="107">
        <f t="shared" si="23"/>
        <v>73.25</v>
      </c>
      <c r="J127" s="104">
        <f>K127+N127</f>
        <v>0</v>
      </c>
      <c r="K127" s="112"/>
      <c r="L127" s="104"/>
      <c r="M127" s="104"/>
      <c r="N127" s="86"/>
      <c r="O127" s="127"/>
      <c r="P127" s="105">
        <f t="shared" si="25"/>
        <v>80</v>
      </c>
      <c r="Q127" s="115">
        <f t="shared" si="26"/>
        <v>58.6</v>
      </c>
      <c r="R127" s="115">
        <f t="shared" si="27"/>
        <v>-21.4</v>
      </c>
      <c r="S127" s="126">
        <f t="shared" si="28"/>
        <v>73.25</v>
      </c>
    </row>
    <row r="128" spans="3:19" s="30" customFormat="1" ht="20.25" customHeight="1">
      <c r="C128" s="26" t="s">
        <v>226</v>
      </c>
      <c r="D128" s="26" t="s">
        <v>70</v>
      </c>
      <c r="E128" s="26" t="s">
        <v>61</v>
      </c>
      <c r="F128" s="27" t="s">
        <v>223</v>
      </c>
      <c r="G128" s="104">
        <v>560.1</v>
      </c>
      <c r="H128" s="104">
        <v>204.4</v>
      </c>
      <c r="I128" s="107">
        <f t="shared" si="23"/>
        <v>36.4934833065524</v>
      </c>
      <c r="J128" s="104">
        <f aca="true" t="shared" si="33" ref="J128:J141">K128+N128</f>
        <v>0</v>
      </c>
      <c r="K128" s="112"/>
      <c r="L128" s="104"/>
      <c r="M128" s="104"/>
      <c r="N128" s="86"/>
      <c r="O128" s="127"/>
      <c r="P128" s="105">
        <f t="shared" si="25"/>
        <v>560.1</v>
      </c>
      <c r="Q128" s="115">
        <f t="shared" si="26"/>
        <v>204.4</v>
      </c>
      <c r="R128" s="115">
        <f t="shared" si="27"/>
        <v>-355.70000000000005</v>
      </c>
      <c r="S128" s="126">
        <f t="shared" si="28"/>
        <v>36.4934833065524</v>
      </c>
    </row>
    <row r="129" spans="3:19" s="30" customFormat="1" ht="24.75" customHeight="1">
      <c r="C129" s="26" t="s">
        <v>227</v>
      </c>
      <c r="D129" s="26" t="s">
        <v>71</v>
      </c>
      <c r="E129" s="26" t="s">
        <v>61</v>
      </c>
      <c r="F129" s="27" t="s">
        <v>235</v>
      </c>
      <c r="G129" s="104">
        <v>300</v>
      </c>
      <c r="H129" s="104">
        <v>42.1</v>
      </c>
      <c r="I129" s="107">
        <f t="shared" si="23"/>
        <v>14.033333333333333</v>
      </c>
      <c r="J129" s="104">
        <f t="shared" si="33"/>
        <v>0</v>
      </c>
      <c r="K129" s="112"/>
      <c r="L129" s="104"/>
      <c r="M129" s="104"/>
      <c r="N129" s="86"/>
      <c r="O129" s="127"/>
      <c r="P129" s="105">
        <f t="shared" si="25"/>
        <v>300</v>
      </c>
      <c r="Q129" s="115">
        <f t="shared" si="26"/>
        <v>42.1</v>
      </c>
      <c r="R129" s="115">
        <f t="shared" si="27"/>
        <v>-257.9</v>
      </c>
      <c r="S129" s="126">
        <f t="shared" si="28"/>
        <v>14.033333333333333</v>
      </c>
    </row>
    <row r="130" spans="3:19" s="30" customFormat="1" ht="22.5" customHeight="1">
      <c r="C130" s="26" t="s">
        <v>228</v>
      </c>
      <c r="D130" s="26" t="s">
        <v>72</v>
      </c>
      <c r="E130" s="26" t="s">
        <v>61</v>
      </c>
      <c r="F130" s="27" t="s">
        <v>224</v>
      </c>
      <c r="G130" s="104">
        <f>23268.8</f>
        <v>23268.8</v>
      </c>
      <c r="H130" s="104">
        <v>12425.5</v>
      </c>
      <c r="I130" s="107">
        <f t="shared" si="23"/>
        <v>53.399831534071375</v>
      </c>
      <c r="J130" s="104">
        <f t="shared" si="33"/>
        <v>0</v>
      </c>
      <c r="K130" s="112"/>
      <c r="L130" s="104"/>
      <c r="M130" s="104"/>
      <c r="N130" s="86"/>
      <c r="O130" s="127"/>
      <c r="P130" s="105">
        <f t="shared" si="25"/>
        <v>23268.8</v>
      </c>
      <c r="Q130" s="115">
        <f t="shared" si="26"/>
        <v>12425.5</v>
      </c>
      <c r="R130" s="115">
        <f t="shared" si="27"/>
        <v>-10843.3</v>
      </c>
      <c r="S130" s="126">
        <f t="shared" si="28"/>
        <v>53.399831534071375</v>
      </c>
    </row>
    <row r="131" spans="3:19" s="30" customFormat="1" ht="41.25" customHeight="1">
      <c r="C131" s="26" t="s">
        <v>229</v>
      </c>
      <c r="D131" s="26" t="s">
        <v>73</v>
      </c>
      <c r="E131" s="26" t="s">
        <v>61</v>
      </c>
      <c r="F131" s="27" t="s">
        <v>225</v>
      </c>
      <c r="G131" s="104">
        <v>2925</v>
      </c>
      <c r="H131" s="104">
        <v>2321.5</v>
      </c>
      <c r="I131" s="107">
        <f t="shared" si="23"/>
        <v>79.36752136752136</v>
      </c>
      <c r="J131" s="104">
        <f t="shared" si="33"/>
        <v>0</v>
      </c>
      <c r="K131" s="112"/>
      <c r="L131" s="104"/>
      <c r="M131" s="104"/>
      <c r="N131" s="86"/>
      <c r="O131" s="127"/>
      <c r="P131" s="105">
        <f t="shared" si="25"/>
        <v>2925</v>
      </c>
      <c r="Q131" s="115">
        <f t="shared" si="26"/>
        <v>2321.5</v>
      </c>
      <c r="R131" s="115">
        <f t="shared" si="27"/>
        <v>-603.5</v>
      </c>
      <c r="S131" s="126">
        <f t="shared" si="28"/>
        <v>79.36752136752136</v>
      </c>
    </row>
    <row r="132" spans="3:19" s="30" customFormat="1" ht="23.25" customHeight="1">
      <c r="C132" s="26" t="s">
        <v>230</v>
      </c>
      <c r="D132" s="26" t="s">
        <v>74</v>
      </c>
      <c r="E132" s="26" t="s">
        <v>61</v>
      </c>
      <c r="F132" s="27" t="s">
        <v>233</v>
      </c>
      <c r="G132" s="104">
        <v>4000</v>
      </c>
      <c r="H132" s="104">
        <v>2607.7</v>
      </c>
      <c r="I132" s="107">
        <f t="shared" si="23"/>
        <v>65.1925</v>
      </c>
      <c r="J132" s="104">
        <f t="shared" si="33"/>
        <v>0</v>
      </c>
      <c r="K132" s="112"/>
      <c r="L132" s="104"/>
      <c r="M132" s="104"/>
      <c r="N132" s="86"/>
      <c r="O132" s="127"/>
      <c r="P132" s="105">
        <f t="shared" si="25"/>
        <v>4000</v>
      </c>
      <c r="Q132" s="115">
        <f t="shared" si="26"/>
        <v>2607.7</v>
      </c>
      <c r="R132" s="115">
        <f t="shared" si="27"/>
        <v>-1392.3000000000002</v>
      </c>
      <c r="S132" s="126">
        <f t="shared" si="28"/>
        <v>65.1925</v>
      </c>
    </row>
    <row r="133" spans="3:19" s="30" customFormat="1" ht="23.25" customHeight="1">
      <c r="C133" s="26" t="s">
        <v>231</v>
      </c>
      <c r="D133" s="26" t="s">
        <v>75</v>
      </c>
      <c r="E133" s="26" t="s">
        <v>61</v>
      </c>
      <c r="F133" s="27" t="s">
        <v>234</v>
      </c>
      <c r="G133" s="104">
        <v>605</v>
      </c>
      <c r="H133" s="104">
        <v>67.4</v>
      </c>
      <c r="I133" s="107">
        <f t="shared" si="23"/>
        <v>11.140495867768596</v>
      </c>
      <c r="J133" s="104">
        <f t="shared" si="33"/>
        <v>0</v>
      </c>
      <c r="K133" s="112"/>
      <c r="L133" s="104"/>
      <c r="M133" s="104"/>
      <c r="N133" s="86"/>
      <c r="O133" s="127"/>
      <c r="P133" s="105">
        <f t="shared" si="25"/>
        <v>605</v>
      </c>
      <c r="Q133" s="115">
        <f t="shared" si="26"/>
        <v>67.4</v>
      </c>
      <c r="R133" s="115">
        <f t="shared" si="27"/>
        <v>-537.6</v>
      </c>
      <c r="S133" s="126">
        <f t="shared" si="28"/>
        <v>11.140495867768596</v>
      </c>
    </row>
    <row r="134" spans="3:19" s="30" customFormat="1" ht="38.25" customHeight="1">
      <c r="C134" s="26" t="s">
        <v>232</v>
      </c>
      <c r="D134" s="26" t="s">
        <v>76</v>
      </c>
      <c r="E134" s="26" t="s">
        <v>61</v>
      </c>
      <c r="F134" s="27" t="s">
        <v>396</v>
      </c>
      <c r="G134" s="104">
        <f>6210</f>
        <v>6210</v>
      </c>
      <c r="H134" s="104">
        <v>4342.3</v>
      </c>
      <c r="I134" s="107">
        <f t="shared" si="23"/>
        <v>69.92431561996779</v>
      </c>
      <c r="J134" s="104">
        <f t="shared" si="33"/>
        <v>0</v>
      </c>
      <c r="K134" s="112"/>
      <c r="L134" s="104"/>
      <c r="M134" s="104"/>
      <c r="N134" s="86"/>
      <c r="O134" s="127"/>
      <c r="P134" s="105">
        <f t="shared" si="25"/>
        <v>6210</v>
      </c>
      <c r="Q134" s="115">
        <f t="shared" si="26"/>
        <v>4342.3</v>
      </c>
      <c r="R134" s="115">
        <f t="shared" si="27"/>
        <v>-1867.6999999999998</v>
      </c>
      <c r="S134" s="126">
        <f t="shared" si="28"/>
        <v>69.92431561996779</v>
      </c>
    </row>
    <row r="135" spans="1:19" s="6" customFormat="1" ht="63.75" customHeight="1">
      <c r="A135" s="6">
        <v>5</v>
      </c>
      <c r="B135" s="6">
        <v>26</v>
      </c>
      <c r="C135" s="26" t="s">
        <v>236</v>
      </c>
      <c r="D135" s="26" t="s">
        <v>77</v>
      </c>
      <c r="E135" s="26" t="s">
        <v>60</v>
      </c>
      <c r="F135" s="34" t="s">
        <v>107</v>
      </c>
      <c r="G135" s="104">
        <v>247.7</v>
      </c>
      <c r="H135" s="104">
        <v>148.1</v>
      </c>
      <c r="I135" s="107">
        <f t="shared" si="23"/>
        <v>59.790068631408964</v>
      </c>
      <c r="J135" s="104">
        <f>K135+N135</f>
        <v>0</v>
      </c>
      <c r="K135" s="112"/>
      <c r="L135" s="104"/>
      <c r="M135" s="104"/>
      <c r="N135" s="86"/>
      <c r="O135" s="127"/>
      <c r="P135" s="105">
        <f t="shared" si="25"/>
        <v>247.7</v>
      </c>
      <c r="Q135" s="115">
        <f t="shared" si="26"/>
        <v>148.1</v>
      </c>
      <c r="R135" s="115">
        <f t="shared" si="27"/>
        <v>-99.6</v>
      </c>
      <c r="S135" s="126">
        <f t="shared" si="28"/>
        <v>59.790068631408964</v>
      </c>
    </row>
    <row r="136" spans="3:19" s="30" customFormat="1" ht="55.5" customHeight="1">
      <c r="C136" s="26" t="s">
        <v>398</v>
      </c>
      <c r="D136" s="26" t="s">
        <v>399</v>
      </c>
      <c r="E136" s="26" t="s">
        <v>52</v>
      </c>
      <c r="F136" s="34" t="s">
        <v>397</v>
      </c>
      <c r="G136" s="104">
        <v>5220</v>
      </c>
      <c r="H136" s="104">
        <v>4502.2</v>
      </c>
      <c r="I136" s="107">
        <f t="shared" si="23"/>
        <v>86.24904214559386</v>
      </c>
      <c r="J136" s="104">
        <f t="shared" si="33"/>
        <v>0</v>
      </c>
      <c r="K136" s="104"/>
      <c r="L136" s="104"/>
      <c r="M136" s="104"/>
      <c r="N136" s="86"/>
      <c r="O136" s="127"/>
      <c r="P136" s="105">
        <f t="shared" si="25"/>
        <v>5220</v>
      </c>
      <c r="Q136" s="115">
        <f t="shared" si="26"/>
        <v>4502.2</v>
      </c>
      <c r="R136" s="115">
        <f t="shared" si="27"/>
        <v>-717.8000000000002</v>
      </c>
      <c r="S136" s="126">
        <f t="shared" si="28"/>
        <v>86.24904214559386</v>
      </c>
    </row>
    <row r="137" spans="3:19" s="30" customFormat="1" ht="67.5" customHeight="1">
      <c r="C137" s="26" t="s">
        <v>457</v>
      </c>
      <c r="D137" s="26" t="s">
        <v>458</v>
      </c>
      <c r="E137" s="26" t="s">
        <v>52</v>
      </c>
      <c r="F137" s="34" t="s">
        <v>463</v>
      </c>
      <c r="G137" s="104">
        <v>1890</v>
      </c>
      <c r="H137" s="104">
        <v>1367.2</v>
      </c>
      <c r="I137" s="107">
        <f t="shared" si="23"/>
        <v>72.33862433862434</v>
      </c>
      <c r="J137" s="104"/>
      <c r="K137" s="104"/>
      <c r="L137" s="104"/>
      <c r="M137" s="104"/>
      <c r="N137" s="86"/>
      <c r="O137" s="127"/>
      <c r="P137" s="105">
        <f t="shared" si="25"/>
        <v>1890</v>
      </c>
      <c r="Q137" s="115">
        <f t="shared" si="26"/>
        <v>1367.2</v>
      </c>
      <c r="R137" s="115">
        <f t="shared" si="27"/>
        <v>-522.8</v>
      </c>
      <c r="S137" s="126">
        <f t="shared" si="28"/>
        <v>72.33862433862434</v>
      </c>
    </row>
    <row r="138" spans="3:19" s="30" customFormat="1" ht="55.5" customHeight="1">
      <c r="C138" s="26" t="s">
        <v>447</v>
      </c>
      <c r="D138" s="26" t="s">
        <v>446</v>
      </c>
      <c r="E138" s="26" t="s">
        <v>52</v>
      </c>
      <c r="F138" s="34" t="s">
        <v>400</v>
      </c>
      <c r="G138" s="104">
        <v>350</v>
      </c>
      <c r="H138" s="104">
        <v>146.9</v>
      </c>
      <c r="I138" s="107">
        <f t="shared" si="23"/>
        <v>41.97142857142857</v>
      </c>
      <c r="J138" s="104">
        <f t="shared" si="33"/>
        <v>0</v>
      </c>
      <c r="K138" s="104"/>
      <c r="L138" s="104"/>
      <c r="M138" s="104"/>
      <c r="N138" s="86"/>
      <c r="O138" s="127"/>
      <c r="P138" s="105">
        <f t="shared" si="25"/>
        <v>350</v>
      </c>
      <c r="Q138" s="115">
        <f t="shared" si="26"/>
        <v>146.9</v>
      </c>
      <c r="R138" s="115">
        <f t="shared" si="27"/>
        <v>-203.1</v>
      </c>
      <c r="S138" s="126">
        <f t="shared" si="28"/>
        <v>41.97142857142857</v>
      </c>
    </row>
    <row r="139" spans="3:19" s="30" customFormat="1" ht="64.5" customHeight="1">
      <c r="C139" s="26" t="s">
        <v>561</v>
      </c>
      <c r="D139" s="26" t="s">
        <v>562</v>
      </c>
      <c r="E139" s="26" t="s">
        <v>52</v>
      </c>
      <c r="F139" s="34" t="s">
        <v>560</v>
      </c>
      <c r="G139" s="104">
        <v>220</v>
      </c>
      <c r="H139" s="104">
        <v>24.9</v>
      </c>
      <c r="I139" s="107">
        <f aca="true" t="shared" si="34" ref="I139:I203">H139/G139*100</f>
        <v>11.318181818181818</v>
      </c>
      <c r="J139" s="104">
        <f t="shared" si="33"/>
        <v>0</v>
      </c>
      <c r="K139" s="104"/>
      <c r="L139" s="104"/>
      <c r="M139" s="104"/>
      <c r="N139" s="86"/>
      <c r="O139" s="127"/>
      <c r="P139" s="105">
        <f aca="true" t="shared" si="35" ref="P139:P203">G139+J139</f>
        <v>220</v>
      </c>
      <c r="Q139" s="115">
        <f aca="true" t="shared" si="36" ref="Q139:Q203">H139+L139</f>
        <v>24.9</v>
      </c>
      <c r="R139" s="115">
        <f aca="true" t="shared" si="37" ref="R139:R203">Q139-P139</f>
        <v>-195.1</v>
      </c>
      <c r="S139" s="126">
        <f aca="true" t="shared" si="38" ref="S139:S203">Q139/P139*100</f>
        <v>11.318181818181818</v>
      </c>
    </row>
    <row r="140" spans="3:19" s="30" customFormat="1" ht="84" customHeight="1">
      <c r="C140" s="26" t="s">
        <v>448</v>
      </c>
      <c r="D140" s="26" t="s">
        <v>449</v>
      </c>
      <c r="E140" s="26" t="s">
        <v>52</v>
      </c>
      <c r="F140" s="34" t="s">
        <v>450</v>
      </c>
      <c r="G140" s="104">
        <v>1.2</v>
      </c>
      <c r="H140" s="104">
        <v>0.7</v>
      </c>
      <c r="I140" s="107">
        <f t="shared" si="34"/>
        <v>58.333333333333336</v>
      </c>
      <c r="J140" s="104">
        <f t="shared" si="33"/>
        <v>0</v>
      </c>
      <c r="K140" s="104"/>
      <c r="L140" s="104"/>
      <c r="M140" s="104"/>
      <c r="N140" s="86"/>
      <c r="O140" s="127"/>
      <c r="P140" s="105">
        <f t="shared" si="35"/>
        <v>1.2</v>
      </c>
      <c r="Q140" s="115">
        <f t="shared" si="36"/>
        <v>0.7</v>
      </c>
      <c r="R140" s="115">
        <f t="shared" si="37"/>
        <v>-0.5</v>
      </c>
      <c r="S140" s="126">
        <f t="shared" si="38"/>
        <v>58.333333333333336</v>
      </c>
    </row>
    <row r="141" spans="1:19" s="6" customFormat="1" ht="64.5" customHeight="1">
      <c r="A141" s="6">
        <v>7</v>
      </c>
      <c r="B141" s="6">
        <v>28</v>
      </c>
      <c r="C141" s="26" t="s">
        <v>237</v>
      </c>
      <c r="D141" s="26" t="s">
        <v>78</v>
      </c>
      <c r="E141" s="26" t="s">
        <v>65</v>
      </c>
      <c r="F141" s="27" t="s">
        <v>451</v>
      </c>
      <c r="G141" s="104">
        <v>29.6</v>
      </c>
      <c r="H141" s="104"/>
      <c r="I141" s="107">
        <f t="shared" si="34"/>
        <v>0</v>
      </c>
      <c r="J141" s="104">
        <f t="shared" si="33"/>
        <v>0</v>
      </c>
      <c r="K141" s="112"/>
      <c r="L141" s="104"/>
      <c r="M141" s="104"/>
      <c r="N141" s="86"/>
      <c r="O141" s="127"/>
      <c r="P141" s="105">
        <f t="shared" si="35"/>
        <v>29.6</v>
      </c>
      <c r="Q141" s="115">
        <f t="shared" si="36"/>
        <v>0</v>
      </c>
      <c r="R141" s="115">
        <f t="shared" si="37"/>
        <v>-29.6</v>
      </c>
      <c r="S141" s="126">
        <f t="shared" si="38"/>
        <v>0</v>
      </c>
    </row>
    <row r="142" spans="3:19" s="30" customFormat="1" ht="81" customHeight="1">
      <c r="C142" s="26" t="s">
        <v>238</v>
      </c>
      <c r="D142" s="26" t="s">
        <v>79</v>
      </c>
      <c r="E142" s="26" t="s">
        <v>54</v>
      </c>
      <c r="F142" s="27" t="s">
        <v>554</v>
      </c>
      <c r="G142" s="104">
        <f>SUM(G143:G144)</f>
        <v>5506.9</v>
      </c>
      <c r="H142" s="104">
        <f>SUM(H143:H144)</f>
        <v>3840.2</v>
      </c>
      <c r="I142" s="107">
        <f t="shared" si="34"/>
        <v>69.73433329096224</v>
      </c>
      <c r="J142" s="104">
        <f>SUM(J143:J144)</f>
        <v>136.7</v>
      </c>
      <c r="K142" s="104">
        <f>SUM(K143:K144)</f>
        <v>97.06</v>
      </c>
      <c r="L142" s="104">
        <f>SUM(L143:L144)</f>
        <v>134.5</v>
      </c>
      <c r="M142" s="104">
        <f>SUM(M143:M144)</f>
        <v>20</v>
      </c>
      <c r="N142" s="86">
        <f>SUM(N143:N144)</f>
        <v>10</v>
      </c>
      <c r="O142" s="127">
        <f>L142/J142*100</f>
        <v>98.390636430139</v>
      </c>
      <c r="P142" s="105">
        <f t="shared" si="35"/>
        <v>5643.599999999999</v>
      </c>
      <c r="Q142" s="115">
        <f t="shared" si="36"/>
        <v>3974.7</v>
      </c>
      <c r="R142" s="115">
        <f t="shared" si="37"/>
        <v>-1668.8999999999996</v>
      </c>
      <c r="S142" s="126">
        <f t="shared" si="38"/>
        <v>70.42844992557941</v>
      </c>
    </row>
    <row r="143" spans="3:19" s="30" customFormat="1" ht="59.25" customHeight="1">
      <c r="C143" s="26"/>
      <c r="D143" s="26"/>
      <c r="E143" s="26"/>
      <c r="F143" s="27" t="s">
        <v>133</v>
      </c>
      <c r="G143" s="104">
        <v>5477.4</v>
      </c>
      <c r="H143" s="104">
        <v>3810.7</v>
      </c>
      <c r="I143" s="107">
        <f t="shared" si="34"/>
        <v>69.57132946288385</v>
      </c>
      <c r="J143" s="142">
        <f>7.1+109.6</f>
        <v>116.69999999999999</v>
      </c>
      <c r="K143" s="104">
        <f>94.31+2.75</f>
        <v>97.06</v>
      </c>
      <c r="L143" s="104">
        <f>107.5+7</f>
        <v>114.5</v>
      </c>
      <c r="M143" s="104"/>
      <c r="N143" s="86">
        <v>0</v>
      </c>
      <c r="O143" s="127">
        <f>L143/J143*100</f>
        <v>98.11482433590403</v>
      </c>
      <c r="P143" s="105">
        <f t="shared" si="35"/>
        <v>5594.099999999999</v>
      </c>
      <c r="Q143" s="115">
        <f t="shared" si="36"/>
        <v>3925.2</v>
      </c>
      <c r="R143" s="115">
        <f t="shared" si="37"/>
        <v>-1668.8999999999996</v>
      </c>
      <c r="S143" s="126">
        <f t="shared" si="38"/>
        <v>70.16678286051375</v>
      </c>
    </row>
    <row r="144" spans="3:19" s="30" customFormat="1" ht="48" customHeight="1">
      <c r="C144" s="26"/>
      <c r="D144" s="26"/>
      <c r="E144" s="26"/>
      <c r="F144" s="27" t="s">
        <v>549</v>
      </c>
      <c r="G144" s="104">
        <v>29.5</v>
      </c>
      <c r="H144" s="104">
        <v>29.5</v>
      </c>
      <c r="I144" s="107">
        <f t="shared" si="34"/>
        <v>100</v>
      </c>
      <c r="J144" s="142">
        <v>20</v>
      </c>
      <c r="K144" s="104"/>
      <c r="L144" s="104">
        <v>20</v>
      </c>
      <c r="M144" s="104">
        <v>20</v>
      </c>
      <c r="N144" s="86">
        <v>10</v>
      </c>
      <c r="O144" s="127">
        <f>L144/J144*100</f>
        <v>100</v>
      </c>
      <c r="P144" s="105">
        <f t="shared" si="35"/>
        <v>49.5</v>
      </c>
      <c r="Q144" s="115">
        <f t="shared" si="36"/>
        <v>49.5</v>
      </c>
      <c r="R144" s="115">
        <f t="shared" si="37"/>
        <v>0</v>
      </c>
      <c r="S144" s="126">
        <f t="shared" si="38"/>
        <v>100</v>
      </c>
    </row>
    <row r="145" spans="3:19" s="30" customFormat="1" ht="45" customHeight="1">
      <c r="C145" s="26" t="s">
        <v>455</v>
      </c>
      <c r="D145" s="26" t="s">
        <v>240</v>
      </c>
      <c r="E145" s="26" t="s">
        <v>61</v>
      </c>
      <c r="F145" s="27" t="s">
        <v>239</v>
      </c>
      <c r="G145" s="104">
        <f>G146+G147</f>
        <v>1259.8000000000002</v>
      </c>
      <c r="H145" s="104">
        <f>H146+H147</f>
        <v>845.7</v>
      </c>
      <c r="I145" s="107">
        <f t="shared" si="34"/>
        <v>67.12970312748054</v>
      </c>
      <c r="J145" s="104">
        <f aca="true" t="shared" si="39" ref="J145:J153">K145+N145</f>
        <v>0</v>
      </c>
      <c r="K145" s="104">
        <f>K146+K149</f>
        <v>0</v>
      </c>
      <c r="L145" s="104">
        <f>L146+L149</f>
        <v>0</v>
      </c>
      <c r="M145" s="104">
        <f>M146+M149</f>
        <v>0</v>
      </c>
      <c r="N145" s="86">
        <f>N146+N149</f>
        <v>0</v>
      </c>
      <c r="O145" s="127"/>
      <c r="P145" s="105">
        <f t="shared" si="35"/>
        <v>1259.8000000000002</v>
      </c>
      <c r="Q145" s="115">
        <f t="shared" si="36"/>
        <v>845.7</v>
      </c>
      <c r="R145" s="115">
        <f t="shared" si="37"/>
        <v>-414.10000000000014</v>
      </c>
      <c r="S145" s="126">
        <f t="shared" si="38"/>
        <v>67.12970312748054</v>
      </c>
    </row>
    <row r="146" spans="3:19" s="30" customFormat="1" ht="45" customHeight="1">
      <c r="C146" s="26"/>
      <c r="D146" s="26"/>
      <c r="E146" s="26"/>
      <c r="F146" s="27" t="s">
        <v>241</v>
      </c>
      <c r="G146" s="104">
        <v>1246.9</v>
      </c>
      <c r="H146" s="104">
        <v>837.7</v>
      </c>
      <c r="I146" s="107">
        <f t="shared" si="34"/>
        <v>67.18261287994225</v>
      </c>
      <c r="J146" s="104">
        <f t="shared" si="39"/>
        <v>0</v>
      </c>
      <c r="K146" s="108"/>
      <c r="L146" s="108"/>
      <c r="M146" s="108"/>
      <c r="N146" s="86"/>
      <c r="O146" s="127"/>
      <c r="P146" s="105">
        <f t="shared" si="35"/>
        <v>1246.9</v>
      </c>
      <c r="Q146" s="115">
        <f t="shared" si="36"/>
        <v>837.7</v>
      </c>
      <c r="R146" s="115">
        <f t="shared" si="37"/>
        <v>-409.20000000000005</v>
      </c>
      <c r="S146" s="126">
        <f t="shared" si="38"/>
        <v>67.18261287994225</v>
      </c>
    </row>
    <row r="147" spans="3:19" s="30" customFormat="1" ht="45" customHeight="1">
      <c r="C147" s="26"/>
      <c r="D147" s="26"/>
      <c r="E147" s="26"/>
      <c r="F147" s="27" t="s">
        <v>242</v>
      </c>
      <c r="G147" s="104">
        <v>12.9</v>
      </c>
      <c r="H147" s="104">
        <v>8</v>
      </c>
      <c r="I147" s="107">
        <f t="shared" si="34"/>
        <v>62.01550387596899</v>
      </c>
      <c r="J147" s="104"/>
      <c r="K147" s="108"/>
      <c r="L147" s="108"/>
      <c r="M147" s="108"/>
      <c r="N147" s="86"/>
      <c r="O147" s="127"/>
      <c r="P147" s="105">
        <f t="shared" si="35"/>
        <v>12.9</v>
      </c>
      <c r="Q147" s="115">
        <f t="shared" si="36"/>
        <v>8</v>
      </c>
      <c r="R147" s="115">
        <f t="shared" si="37"/>
        <v>-4.9</v>
      </c>
      <c r="S147" s="126">
        <f t="shared" si="38"/>
        <v>62.01550387596899</v>
      </c>
    </row>
    <row r="148" spans="3:19" s="30" customFormat="1" ht="45" customHeight="1">
      <c r="C148" s="26" t="s">
        <v>478</v>
      </c>
      <c r="D148" s="26" t="s">
        <v>479</v>
      </c>
      <c r="E148" s="26" t="s">
        <v>61</v>
      </c>
      <c r="F148" s="1" t="s">
        <v>480</v>
      </c>
      <c r="G148" s="104">
        <f>G149</f>
        <v>2.1</v>
      </c>
      <c r="H148" s="104">
        <f>H149</f>
        <v>2.1</v>
      </c>
      <c r="I148" s="107">
        <f t="shared" si="34"/>
        <v>100</v>
      </c>
      <c r="J148" s="104">
        <f t="shared" si="39"/>
        <v>0</v>
      </c>
      <c r="K148" s="104">
        <f>K149</f>
        <v>0</v>
      </c>
      <c r="L148" s="104">
        <f>L149</f>
        <v>0</v>
      </c>
      <c r="M148" s="104">
        <f>M149</f>
        <v>0</v>
      </c>
      <c r="N148" s="12">
        <f>N149</f>
        <v>0</v>
      </c>
      <c r="O148" s="127"/>
      <c r="P148" s="105">
        <f t="shared" si="35"/>
        <v>2.1</v>
      </c>
      <c r="Q148" s="115">
        <f t="shared" si="36"/>
        <v>2.1</v>
      </c>
      <c r="R148" s="115">
        <f t="shared" si="37"/>
        <v>0</v>
      </c>
      <c r="S148" s="126">
        <f t="shared" si="38"/>
        <v>100</v>
      </c>
    </row>
    <row r="149" spans="3:19" s="30" customFormat="1" ht="47.25" customHeight="1">
      <c r="C149" s="26"/>
      <c r="D149" s="26"/>
      <c r="E149" s="26"/>
      <c r="F149" s="27" t="s">
        <v>242</v>
      </c>
      <c r="G149" s="104">
        <v>2.1</v>
      </c>
      <c r="H149" s="104">
        <v>2.1</v>
      </c>
      <c r="I149" s="107">
        <f t="shared" si="34"/>
        <v>100</v>
      </c>
      <c r="J149" s="104">
        <f t="shared" si="39"/>
        <v>0</v>
      </c>
      <c r="K149" s="112"/>
      <c r="L149" s="104"/>
      <c r="M149" s="104"/>
      <c r="N149" s="86"/>
      <c r="O149" s="127"/>
      <c r="P149" s="105">
        <f t="shared" si="35"/>
        <v>2.1</v>
      </c>
      <c r="Q149" s="115">
        <f t="shared" si="36"/>
        <v>2.1</v>
      </c>
      <c r="R149" s="115">
        <f t="shared" si="37"/>
        <v>0</v>
      </c>
      <c r="S149" s="126">
        <f t="shared" si="38"/>
        <v>100</v>
      </c>
    </row>
    <row r="150" spans="1:19" s="14" customFormat="1" ht="102" customHeight="1">
      <c r="A150" s="14">
        <v>9</v>
      </c>
      <c r="B150" s="14">
        <v>30</v>
      </c>
      <c r="C150" s="26" t="s">
        <v>244</v>
      </c>
      <c r="D150" s="26" t="s">
        <v>245</v>
      </c>
      <c r="E150" s="26" t="s">
        <v>52</v>
      </c>
      <c r="F150" s="27" t="s">
        <v>401</v>
      </c>
      <c r="G150" s="104">
        <f>G151</f>
        <v>189</v>
      </c>
      <c r="H150" s="104">
        <f aca="true" t="shared" si="40" ref="H150:N150">H151</f>
        <v>115.7</v>
      </c>
      <c r="I150" s="107">
        <f t="shared" si="34"/>
        <v>61.216931216931215</v>
      </c>
      <c r="J150" s="104">
        <f t="shared" si="40"/>
        <v>0</v>
      </c>
      <c r="K150" s="104">
        <f t="shared" si="40"/>
        <v>0</v>
      </c>
      <c r="L150" s="104">
        <f t="shared" si="40"/>
        <v>0</v>
      </c>
      <c r="M150" s="104">
        <f t="shared" si="40"/>
        <v>0</v>
      </c>
      <c r="N150" s="86">
        <f t="shared" si="40"/>
        <v>0</v>
      </c>
      <c r="O150" s="127"/>
      <c r="P150" s="105">
        <f t="shared" si="35"/>
        <v>189</v>
      </c>
      <c r="Q150" s="115">
        <f t="shared" si="36"/>
        <v>115.7</v>
      </c>
      <c r="R150" s="115">
        <f t="shared" si="37"/>
        <v>-73.3</v>
      </c>
      <c r="S150" s="126">
        <f t="shared" si="38"/>
        <v>61.216931216931215</v>
      </c>
    </row>
    <row r="151" spans="3:19" s="30" customFormat="1" ht="51.75" customHeight="1">
      <c r="C151" s="26"/>
      <c r="D151" s="26"/>
      <c r="E151" s="26"/>
      <c r="F151" s="34" t="s">
        <v>477</v>
      </c>
      <c r="G151" s="104">
        <v>189</v>
      </c>
      <c r="H151" s="104">
        <v>115.7</v>
      </c>
      <c r="I151" s="107">
        <f t="shared" si="34"/>
        <v>61.216931216931215</v>
      </c>
      <c r="J151" s="104">
        <f t="shared" si="39"/>
        <v>0</v>
      </c>
      <c r="K151" s="104"/>
      <c r="L151" s="104"/>
      <c r="M151" s="104"/>
      <c r="N151" s="86"/>
      <c r="O151" s="127"/>
      <c r="P151" s="105">
        <f t="shared" si="35"/>
        <v>189</v>
      </c>
      <c r="Q151" s="115">
        <f t="shared" si="36"/>
        <v>115.7</v>
      </c>
      <c r="R151" s="115">
        <f t="shared" si="37"/>
        <v>-73.3</v>
      </c>
      <c r="S151" s="126">
        <f t="shared" si="38"/>
        <v>61.216931216931215</v>
      </c>
    </row>
    <row r="152" spans="3:19" s="30" customFormat="1" ht="87" customHeight="1">
      <c r="C152" s="26" t="s">
        <v>404</v>
      </c>
      <c r="D152" s="26" t="s">
        <v>405</v>
      </c>
      <c r="E152" s="26" t="s">
        <v>52</v>
      </c>
      <c r="F152" s="27" t="s">
        <v>471</v>
      </c>
      <c r="G152" s="104">
        <f>10.5+0.1</f>
        <v>10.6</v>
      </c>
      <c r="H152" s="104">
        <v>5.7</v>
      </c>
      <c r="I152" s="107">
        <f t="shared" si="34"/>
        <v>53.77358490566038</v>
      </c>
      <c r="J152" s="104">
        <f t="shared" si="39"/>
        <v>0</v>
      </c>
      <c r="K152" s="112"/>
      <c r="L152" s="104"/>
      <c r="M152" s="104"/>
      <c r="N152" s="86"/>
      <c r="O152" s="127"/>
      <c r="P152" s="105">
        <f t="shared" si="35"/>
        <v>10.6</v>
      </c>
      <c r="Q152" s="115">
        <f t="shared" si="36"/>
        <v>5.7</v>
      </c>
      <c r="R152" s="115">
        <f t="shared" si="37"/>
        <v>-4.8999999999999995</v>
      </c>
      <c r="S152" s="126">
        <f t="shared" si="38"/>
        <v>53.77358490566038</v>
      </c>
    </row>
    <row r="153" spans="3:19" s="30" customFormat="1" ht="49.5" customHeight="1" hidden="1">
      <c r="C153" s="26" t="s">
        <v>402</v>
      </c>
      <c r="D153" s="26" t="s">
        <v>403</v>
      </c>
      <c r="E153" s="26" t="s">
        <v>52</v>
      </c>
      <c r="F153" s="27" t="s">
        <v>472</v>
      </c>
      <c r="G153" s="104">
        <v>0</v>
      </c>
      <c r="H153" s="104"/>
      <c r="I153" s="107" t="e">
        <f t="shared" si="34"/>
        <v>#DIV/0!</v>
      </c>
      <c r="J153" s="104">
        <f t="shared" si="39"/>
        <v>0</v>
      </c>
      <c r="K153" s="112"/>
      <c r="L153" s="104"/>
      <c r="M153" s="104"/>
      <c r="N153" s="86"/>
      <c r="O153" s="127"/>
      <c r="P153" s="105">
        <f t="shared" si="35"/>
        <v>0</v>
      </c>
      <c r="Q153" s="115">
        <f t="shared" si="36"/>
        <v>0</v>
      </c>
      <c r="R153" s="115">
        <f t="shared" si="37"/>
        <v>0</v>
      </c>
      <c r="S153" s="126" t="e">
        <f t="shared" si="38"/>
        <v>#DIV/0!</v>
      </c>
    </row>
    <row r="154" spans="1:19" s="6" customFormat="1" ht="81" customHeight="1">
      <c r="A154" s="6">
        <v>10</v>
      </c>
      <c r="B154" s="6">
        <v>31</v>
      </c>
      <c r="C154" s="26" t="s">
        <v>243</v>
      </c>
      <c r="D154" s="26" t="s">
        <v>80</v>
      </c>
      <c r="E154" s="26" t="s">
        <v>62</v>
      </c>
      <c r="F154" s="34" t="s">
        <v>406</v>
      </c>
      <c r="G154" s="104">
        <f>SUM(G155:G156)</f>
        <v>201.8</v>
      </c>
      <c r="H154" s="104">
        <f>SUM(H155:H156)</f>
        <v>83.7</v>
      </c>
      <c r="I154" s="107">
        <f t="shared" si="34"/>
        <v>41.47670961347869</v>
      </c>
      <c r="J154" s="104">
        <f>SUM(J155:J156)</f>
        <v>0</v>
      </c>
      <c r="K154" s="104">
        <f>SUM(K155:K156)</f>
        <v>0</v>
      </c>
      <c r="L154" s="104">
        <f>SUM(L155:L156)</f>
        <v>0</v>
      </c>
      <c r="M154" s="104">
        <f>SUM(M155:M156)</f>
        <v>0</v>
      </c>
      <c r="N154" s="86">
        <f>SUM(N155:N156)</f>
        <v>0</v>
      </c>
      <c r="O154" s="127"/>
      <c r="P154" s="105">
        <f t="shared" si="35"/>
        <v>201.8</v>
      </c>
      <c r="Q154" s="115">
        <f t="shared" si="36"/>
        <v>83.7</v>
      </c>
      <c r="R154" s="115">
        <f t="shared" si="37"/>
        <v>-118.10000000000001</v>
      </c>
      <c r="S154" s="126">
        <f t="shared" si="38"/>
        <v>41.47670961347869</v>
      </c>
    </row>
    <row r="155" spans="3:19" s="30" customFormat="1" ht="42.75" customHeight="1">
      <c r="C155" s="26"/>
      <c r="D155" s="26"/>
      <c r="E155" s="26"/>
      <c r="F155" s="34" t="s">
        <v>477</v>
      </c>
      <c r="G155" s="104">
        <v>101.8</v>
      </c>
      <c r="H155" s="104">
        <v>56.1</v>
      </c>
      <c r="I155" s="107">
        <f t="shared" si="34"/>
        <v>55.10805500982319</v>
      </c>
      <c r="J155" s="104">
        <f aca="true" t="shared" si="41" ref="J155:J165">K155+N155</f>
        <v>0</v>
      </c>
      <c r="K155" s="104"/>
      <c r="L155" s="104"/>
      <c r="M155" s="104"/>
      <c r="N155" s="86"/>
      <c r="O155" s="127"/>
      <c r="P155" s="105">
        <f t="shared" si="35"/>
        <v>101.8</v>
      </c>
      <c r="Q155" s="115">
        <f t="shared" si="36"/>
        <v>56.1</v>
      </c>
      <c r="R155" s="115">
        <f t="shared" si="37"/>
        <v>-45.699999999999996</v>
      </c>
      <c r="S155" s="126">
        <f t="shared" si="38"/>
        <v>55.10805500982319</v>
      </c>
    </row>
    <row r="156" spans="3:19" s="30" customFormat="1" ht="41.25" customHeight="1">
      <c r="C156" s="26"/>
      <c r="D156" s="26"/>
      <c r="E156" s="26"/>
      <c r="F156" s="34" t="s">
        <v>100</v>
      </c>
      <c r="G156" s="104">
        <v>100</v>
      </c>
      <c r="H156" s="104">
        <v>27.6</v>
      </c>
      <c r="I156" s="107">
        <f t="shared" si="34"/>
        <v>27.6</v>
      </c>
      <c r="J156" s="104">
        <f t="shared" si="41"/>
        <v>0</v>
      </c>
      <c r="K156" s="104"/>
      <c r="L156" s="104"/>
      <c r="M156" s="104"/>
      <c r="N156" s="86"/>
      <c r="O156" s="127"/>
      <c r="P156" s="105">
        <f t="shared" si="35"/>
        <v>100</v>
      </c>
      <c r="Q156" s="115">
        <f t="shared" si="36"/>
        <v>27.6</v>
      </c>
      <c r="R156" s="115">
        <f t="shared" si="37"/>
        <v>-72.4</v>
      </c>
      <c r="S156" s="126">
        <f t="shared" si="38"/>
        <v>27.6</v>
      </c>
    </row>
    <row r="157" spans="3:19" s="6" customFormat="1" ht="48" customHeight="1">
      <c r="C157" s="26" t="s">
        <v>408</v>
      </c>
      <c r="D157" s="26" t="s">
        <v>407</v>
      </c>
      <c r="E157" s="26" t="s">
        <v>65</v>
      </c>
      <c r="F157" s="34" t="s">
        <v>246</v>
      </c>
      <c r="G157" s="104">
        <f>SUM(G158:G162)</f>
        <v>1109.4</v>
      </c>
      <c r="H157" s="104">
        <f>SUM(H158:H162)</f>
        <v>543.4</v>
      </c>
      <c r="I157" s="107">
        <f t="shared" si="34"/>
        <v>48.981431404362716</v>
      </c>
      <c r="J157" s="104">
        <f t="shared" si="41"/>
        <v>0</v>
      </c>
      <c r="K157" s="104">
        <f>SUM(K158:K162)</f>
        <v>0</v>
      </c>
      <c r="L157" s="104">
        <f>SUM(L158:L162)</f>
        <v>0</v>
      </c>
      <c r="M157" s="104">
        <f>SUM(M158:M162)</f>
        <v>0</v>
      </c>
      <c r="N157" s="86">
        <f>SUM(N158:N162)</f>
        <v>0</v>
      </c>
      <c r="O157" s="127"/>
      <c r="P157" s="105">
        <f t="shared" si="35"/>
        <v>1109.4</v>
      </c>
      <c r="Q157" s="115">
        <f t="shared" si="36"/>
        <v>543.4</v>
      </c>
      <c r="R157" s="115">
        <f t="shared" si="37"/>
        <v>-566.0000000000001</v>
      </c>
      <c r="S157" s="126">
        <f t="shared" si="38"/>
        <v>48.981431404362716</v>
      </c>
    </row>
    <row r="158" spans="3:19" s="30" customFormat="1" ht="29.25" customHeight="1">
      <c r="C158" s="26"/>
      <c r="D158" s="26"/>
      <c r="E158" s="26"/>
      <c r="F158" s="34" t="s">
        <v>42</v>
      </c>
      <c r="G158" s="110">
        <v>236.4</v>
      </c>
      <c r="H158" s="104">
        <v>166.2</v>
      </c>
      <c r="I158" s="107">
        <f t="shared" si="34"/>
        <v>70.30456852791878</v>
      </c>
      <c r="J158" s="104">
        <f t="shared" si="41"/>
        <v>0</v>
      </c>
      <c r="K158" s="104"/>
      <c r="L158" s="104"/>
      <c r="M158" s="104"/>
      <c r="N158" s="86"/>
      <c r="O158" s="127"/>
      <c r="P158" s="105">
        <f t="shared" si="35"/>
        <v>236.4</v>
      </c>
      <c r="Q158" s="115">
        <f t="shared" si="36"/>
        <v>166.2</v>
      </c>
      <c r="R158" s="115">
        <f t="shared" si="37"/>
        <v>-70.20000000000002</v>
      </c>
      <c r="S158" s="126">
        <f t="shared" si="38"/>
        <v>70.30456852791878</v>
      </c>
    </row>
    <row r="159" spans="3:19" s="30" customFormat="1" ht="45" customHeight="1">
      <c r="C159" s="26"/>
      <c r="D159" s="26"/>
      <c r="E159" s="26"/>
      <c r="F159" s="34" t="s">
        <v>550</v>
      </c>
      <c r="G159" s="110">
        <v>10</v>
      </c>
      <c r="H159" s="104">
        <v>0</v>
      </c>
      <c r="I159" s="107">
        <f t="shared" si="34"/>
        <v>0</v>
      </c>
      <c r="J159" s="104">
        <f t="shared" si="41"/>
        <v>0</v>
      </c>
      <c r="K159" s="104"/>
      <c r="L159" s="104"/>
      <c r="M159" s="104"/>
      <c r="N159" s="86"/>
      <c r="O159" s="127"/>
      <c r="P159" s="105">
        <f t="shared" si="35"/>
        <v>10</v>
      </c>
      <c r="Q159" s="115">
        <f t="shared" si="36"/>
        <v>0</v>
      </c>
      <c r="R159" s="115">
        <f t="shared" si="37"/>
        <v>-10</v>
      </c>
      <c r="S159" s="126">
        <f t="shared" si="38"/>
        <v>0</v>
      </c>
    </row>
    <row r="160" spans="3:19" s="30" customFormat="1" ht="138.75" customHeight="1" hidden="1">
      <c r="C160" s="26"/>
      <c r="D160" s="26"/>
      <c r="E160" s="26"/>
      <c r="F160" s="34" t="s">
        <v>41</v>
      </c>
      <c r="G160" s="110"/>
      <c r="H160" s="104"/>
      <c r="I160" s="107" t="e">
        <f t="shared" si="34"/>
        <v>#DIV/0!</v>
      </c>
      <c r="J160" s="104">
        <f t="shared" si="41"/>
        <v>0</v>
      </c>
      <c r="K160" s="104"/>
      <c r="L160" s="104"/>
      <c r="M160" s="104"/>
      <c r="N160" s="86"/>
      <c r="O160" s="127"/>
      <c r="P160" s="105">
        <f t="shared" si="35"/>
        <v>0</v>
      </c>
      <c r="Q160" s="115">
        <f t="shared" si="36"/>
        <v>0</v>
      </c>
      <c r="R160" s="115">
        <f t="shared" si="37"/>
        <v>0</v>
      </c>
      <c r="S160" s="126" t="e">
        <f t="shared" si="38"/>
        <v>#DIV/0!</v>
      </c>
    </row>
    <row r="161" spans="3:19" s="30" customFormat="1" ht="50.25" customHeight="1">
      <c r="C161" s="26"/>
      <c r="D161" s="26"/>
      <c r="E161" s="26"/>
      <c r="F161" s="34" t="s">
        <v>481</v>
      </c>
      <c r="G161" s="104">
        <v>763</v>
      </c>
      <c r="H161" s="104">
        <v>358.2</v>
      </c>
      <c r="I161" s="107">
        <f t="shared" si="34"/>
        <v>46.94626474442988</v>
      </c>
      <c r="J161" s="104">
        <f t="shared" si="41"/>
        <v>0</v>
      </c>
      <c r="K161" s="104"/>
      <c r="L161" s="104"/>
      <c r="M161" s="104"/>
      <c r="N161" s="86"/>
      <c r="O161" s="127"/>
      <c r="P161" s="105">
        <f t="shared" si="35"/>
        <v>763</v>
      </c>
      <c r="Q161" s="115">
        <f t="shared" si="36"/>
        <v>358.2</v>
      </c>
      <c r="R161" s="115">
        <f t="shared" si="37"/>
        <v>-404.8</v>
      </c>
      <c r="S161" s="126">
        <f t="shared" si="38"/>
        <v>46.94626474442988</v>
      </c>
    </row>
    <row r="162" spans="3:19" s="30" customFormat="1" ht="42" customHeight="1">
      <c r="C162" s="26"/>
      <c r="D162" s="26"/>
      <c r="E162" s="26"/>
      <c r="F162" s="34" t="s">
        <v>102</v>
      </c>
      <c r="G162" s="104">
        <v>100</v>
      </c>
      <c r="H162" s="104">
        <v>19</v>
      </c>
      <c r="I162" s="107">
        <f t="shared" si="34"/>
        <v>19</v>
      </c>
      <c r="J162" s="104">
        <f t="shared" si="41"/>
        <v>0</v>
      </c>
      <c r="K162" s="104"/>
      <c r="L162" s="104"/>
      <c r="M162" s="104"/>
      <c r="N162" s="86"/>
      <c r="O162" s="127"/>
      <c r="P162" s="105">
        <f t="shared" si="35"/>
        <v>100</v>
      </c>
      <c r="Q162" s="115">
        <f t="shared" si="36"/>
        <v>19</v>
      </c>
      <c r="R162" s="115">
        <f t="shared" si="37"/>
        <v>-81</v>
      </c>
      <c r="S162" s="126">
        <f t="shared" si="38"/>
        <v>19</v>
      </c>
    </row>
    <row r="163" spans="3:19" s="30" customFormat="1" ht="66" customHeight="1">
      <c r="C163" s="26" t="s">
        <v>420</v>
      </c>
      <c r="D163" s="26" t="s">
        <v>452</v>
      </c>
      <c r="E163" s="26" t="s">
        <v>65</v>
      </c>
      <c r="F163" s="34" t="s">
        <v>421</v>
      </c>
      <c r="G163" s="104">
        <f>SUM(G164:G165)</f>
        <v>235.5</v>
      </c>
      <c r="H163" s="104">
        <f>SUM(H164:H165)</f>
        <v>149.89999999999998</v>
      </c>
      <c r="I163" s="107">
        <f t="shared" si="34"/>
        <v>63.65180467091294</v>
      </c>
      <c r="J163" s="104">
        <f t="shared" si="41"/>
        <v>0</v>
      </c>
      <c r="K163" s="104"/>
      <c r="L163" s="104"/>
      <c r="M163" s="104"/>
      <c r="N163" s="86"/>
      <c r="O163" s="127"/>
      <c r="P163" s="105">
        <f t="shared" si="35"/>
        <v>235.5</v>
      </c>
      <c r="Q163" s="115">
        <f t="shared" si="36"/>
        <v>149.89999999999998</v>
      </c>
      <c r="R163" s="115">
        <f t="shared" si="37"/>
        <v>-85.60000000000002</v>
      </c>
      <c r="S163" s="126">
        <f t="shared" si="38"/>
        <v>63.65180467091294</v>
      </c>
    </row>
    <row r="164" spans="3:19" s="30" customFormat="1" ht="81" customHeight="1">
      <c r="C164" s="26"/>
      <c r="D164" s="26"/>
      <c r="E164" s="26"/>
      <c r="F164" s="34" t="s">
        <v>106</v>
      </c>
      <c r="G164" s="104">
        <f>201+34.5</f>
        <v>235.5</v>
      </c>
      <c r="H164" s="104">
        <f>28.1+35.4+23.6+62.8</f>
        <v>149.89999999999998</v>
      </c>
      <c r="I164" s="107">
        <f t="shared" si="34"/>
        <v>63.65180467091294</v>
      </c>
      <c r="J164" s="104">
        <f t="shared" si="41"/>
        <v>0</v>
      </c>
      <c r="K164" s="104"/>
      <c r="L164" s="104"/>
      <c r="M164" s="104"/>
      <c r="N164" s="86"/>
      <c r="O164" s="127"/>
      <c r="P164" s="105">
        <f t="shared" si="35"/>
        <v>235.5</v>
      </c>
      <c r="Q164" s="115">
        <f t="shared" si="36"/>
        <v>149.89999999999998</v>
      </c>
      <c r="R164" s="115">
        <f t="shared" si="37"/>
        <v>-85.60000000000002</v>
      </c>
      <c r="S164" s="126">
        <f t="shared" si="38"/>
        <v>63.65180467091294</v>
      </c>
    </row>
    <row r="165" spans="3:19" s="30" customFormat="1" ht="67.5" customHeight="1" hidden="1">
      <c r="C165" s="26"/>
      <c r="D165" s="26"/>
      <c r="E165" s="26"/>
      <c r="F165" s="34" t="s">
        <v>101</v>
      </c>
      <c r="G165" s="104">
        <f>34.5-34.5</f>
        <v>0</v>
      </c>
      <c r="H165" s="104">
        <v>0</v>
      </c>
      <c r="I165" s="107" t="e">
        <f t="shared" si="34"/>
        <v>#DIV/0!</v>
      </c>
      <c r="J165" s="104">
        <f t="shared" si="41"/>
        <v>0</v>
      </c>
      <c r="K165" s="104"/>
      <c r="L165" s="104"/>
      <c r="M165" s="104"/>
      <c r="N165" s="86"/>
      <c r="O165" s="127"/>
      <c r="P165" s="105">
        <f t="shared" si="35"/>
        <v>0</v>
      </c>
      <c r="Q165" s="115">
        <f t="shared" si="36"/>
        <v>0</v>
      </c>
      <c r="R165" s="115">
        <f t="shared" si="37"/>
        <v>0</v>
      </c>
      <c r="S165" s="126" t="e">
        <f t="shared" si="38"/>
        <v>#DIV/0!</v>
      </c>
    </row>
    <row r="166" spans="3:19" s="30" customFormat="1" ht="225.75" customHeight="1">
      <c r="C166" s="26" t="s">
        <v>247</v>
      </c>
      <c r="D166" s="26" t="s">
        <v>375</v>
      </c>
      <c r="E166" s="26" t="s">
        <v>61</v>
      </c>
      <c r="F166" s="34" t="s">
        <v>409</v>
      </c>
      <c r="G166" s="104">
        <v>611.5</v>
      </c>
      <c r="H166" s="104">
        <v>439.7</v>
      </c>
      <c r="I166" s="107">
        <f t="shared" si="34"/>
        <v>71.9051512673753</v>
      </c>
      <c r="J166" s="104">
        <f>SUM(J167:J169)</f>
        <v>0</v>
      </c>
      <c r="K166" s="104"/>
      <c r="L166" s="104"/>
      <c r="M166" s="104"/>
      <c r="N166" s="86"/>
      <c r="O166" s="127"/>
      <c r="P166" s="105">
        <f t="shared" si="35"/>
        <v>611.5</v>
      </c>
      <c r="Q166" s="115">
        <f t="shared" si="36"/>
        <v>439.7</v>
      </c>
      <c r="R166" s="115">
        <f t="shared" si="37"/>
        <v>-171.8</v>
      </c>
      <c r="S166" s="126">
        <f t="shared" si="38"/>
        <v>71.9051512673753</v>
      </c>
    </row>
    <row r="167" spans="1:19" s="30" customFormat="1" ht="38.25" customHeight="1">
      <c r="A167" s="6"/>
      <c r="B167" s="6"/>
      <c r="C167" s="26" t="s">
        <v>453</v>
      </c>
      <c r="D167" s="26" t="s">
        <v>410</v>
      </c>
      <c r="E167" s="26" t="s">
        <v>56</v>
      </c>
      <c r="F167" s="34" t="s">
        <v>454</v>
      </c>
      <c r="G167" s="104">
        <f>SUM(G168:G170)</f>
        <v>2898.3</v>
      </c>
      <c r="H167" s="104">
        <f>SUM(H168:H170)</f>
        <v>2081.1</v>
      </c>
      <c r="I167" s="107">
        <f t="shared" si="34"/>
        <v>71.80416105993169</v>
      </c>
      <c r="J167" s="104">
        <f aca="true" t="shared" si="42" ref="J167:J181">K167+N167</f>
        <v>0</v>
      </c>
      <c r="K167" s="104">
        <f>SUM(K168:K170)</f>
        <v>0</v>
      </c>
      <c r="L167" s="104">
        <f>SUM(L168:L170)</f>
        <v>0</v>
      </c>
      <c r="M167" s="104">
        <f>SUM(M168:M170)</f>
        <v>0</v>
      </c>
      <c r="N167" s="86">
        <f>SUM(N168:N170)</f>
        <v>0</v>
      </c>
      <c r="O167" s="127"/>
      <c r="P167" s="105">
        <f t="shared" si="35"/>
        <v>2898.3</v>
      </c>
      <c r="Q167" s="115">
        <f t="shared" si="36"/>
        <v>2081.1</v>
      </c>
      <c r="R167" s="115">
        <f t="shared" si="37"/>
        <v>-817.2000000000003</v>
      </c>
      <c r="S167" s="126">
        <f t="shared" si="38"/>
        <v>71.80416105993169</v>
      </c>
    </row>
    <row r="168" spans="3:19" s="30" customFormat="1" ht="27.75" customHeight="1">
      <c r="C168" s="26"/>
      <c r="D168" s="26"/>
      <c r="E168" s="26"/>
      <c r="F168" s="27" t="s">
        <v>139</v>
      </c>
      <c r="G168" s="104">
        <v>66.8</v>
      </c>
      <c r="H168" s="104">
        <v>66.8</v>
      </c>
      <c r="I168" s="107">
        <f t="shared" si="34"/>
        <v>100</v>
      </c>
      <c r="J168" s="104">
        <f t="shared" si="42"/>
        <v>0</v>
      </c>
      <c r="K168" s="104"/>
      <c r="L168" s="104"/>
      <c r="M168" s="104"/>
      <c r="N168" s="86"/>
      <c r="O168" s="127"/>
      <c r="P168" s="105">
        <f t="shared" si="35"/>
        <v>66.8</v>
      </c>
      <c r="Q168" s="115">
        <f t="shared" si="36"/>
        <v>66.8</v>
      </c>
      <c r="R168" s="115">
        <f t="shared" si="37"/>
        <v>0</v>
      </c>
      <c r="S168" s="126">
        <f t="shared" si="38"/>
        <v>100</v>
      </c>
    </row>
    <row r="169" spans="3:19" s="30" customFormat="1" ht="45" customHeight="1">
      <c r="C169" s="26"/>
      <c r="D169" s="26"/>
      <c r="E169" s="26"/>
      <c r="F169" s="27" t="s">
        <v>69</v>
      </c>
      <c r="G169" s="104">
        <v>1620.2</v>
      </c>
      <c r="H169" s="104">
        <v>803</v>
      </c>
      <c r="I169" s="107">
        <f t="shared" si="34"/>
        <v>49.56178249598815</v>
      </c>
      <c r="J169" s="104">
        <f t="shared" si="42"/>
        <v>0</v>
      </c>
      <c r="K169" s="104"/>
      <c r="L169" s="104"/>
      <c r="M169" s="104"/>
      <c r="N169" s="86"/>
      <c r="O169" s="127"/>
      <c r="P169" s="105">
        <f t="shared" si="35"/>
        <v>1620.2</v>
      </c>
      <c r="Q169" s="115">
        <f t="shared" si="36"/>
        <v>803</v>
      </c>
      <c r="R169" s="115">
        <f t="shared" si="37"/>
        <v>-817.2</v>
      </c>
      <c r="S169" s="126">
        <f t="shared" si="38"/>
        <v>49.56178249598815</v>
      </c>
    </row>
    <row r="170" spans="3:19" s="30" customFormat="1" ht="42.75" customHeight="1">
      <c r="C170" s="26"/>
      <c r="D170" s="26"/>
      <c r="E170" s="26"/>
      <c r="F170" s="27" t="s">
        <v>491</v>
      </c>
      <c r="G170" s="104">
        <v>1211.3</v>
      </c>
      <c r="H170" s="104">
        <v>1211.3</v>
      </c>
      <c r="I170" s="107">
        <f t="shared" si="34"/>
        <v>100</v>
      </c>
      <c r="J170" s="104">
        <f>K170+N170</f>
        <v>0</v>
      </c>
      <c r="K170" s="104"/>
      <c r="L170" s="104"/>
      <c r="M170" s="104"/>
      <c r="N170" s="86"/>
      <c r="O170" s="127"/>
      <c r="P170" s="105">
        <f t="shared" si="35"/>
        <v>1211.3</v>
      </c>
      <c r="Q170" s="115">
        <f t="shared" si="36"/>
        <v>1211.3</v>
      </c>
      <c r="R170" s="115">
        <f t="shared" si="37"/>
        <v>0</v>
      </c>
      <c r="S170" s="126">
        <f t="shared" si="38"/>
        <v>100</v>
      </c>
    </row>
    <row r="171" spans="3:19" s="6" customFormat="1" ht="32.25" customHeight="1">
      <c r="C171" s="26" t="s">
        <v>412</v>
      </c>
      <c r="D171" s="26" t="s">
        <v>411</v>
      </c>
      <c r="E171" s="26" t="s">
        <v>81</v>
      </c>
      <c r="F171" s="34" t="s">
        <v>249</v>
      </c>
      <c r="G171" s="104">
        <f>G172</f>
        <v>86.1</v>
      </c>
      <c r="H171" s="104">
        <f>H172</f>
        <v>45.5</v>
      </c>
      <c r="I171" s="107">
        <f t="shared" si="34"/>
        <v>52.84552845528455</v>
      </c>
      <c r="J171" s="104">
        <f>J172</f>
        <v>52.9</v>
      </c>
      <c r="K171" s="104">
        <f>K172</f>
        <v>0</v>
      </c>
      <c r="L171" s="104">
        <f>L172</f>
        <v>45.5</v>
      </c>
      <c r="M171" s="104">
        <f>M172</f>
        <v>0</v>
      </c>
      <c r="N171" s="86">
        <f>N172</f>
        <v>0</v>
      </c>
      <c r="O171" s="127">
        <f aca="true" t="shared" si="43" ref="O171:O187">L171/J171*100</f>
        <v>86.01134215500946</v>
      </c>
      <c r="P171" s="105">
        <f t="shared" si="35"/>
        <v>139</v>
      </c>
      <c r="Q171" s="115">
        <f t="shared" si="36"/>
        <v>91</v>
      </c>
      <c r="R171" s="115">
        <f t="shared" si="37"/>
        <v>-48</v>
      </c>
      <c r="S171" s="126">
        <f t="shared" si="38"/>
        <v>65.46762589928058</v>
      </c>
    </row>
    <row r="172" spans="3:19" s="30" customFormat="1" ht="63.75" customHeight="1">
      <c r="C172" s="26"/>
      <c r="D172" s="26"/>
      <c r="E172" s="26"/>
      <c r="F172" s="34" t="s">
        <v>539</v>
      </c>
      <c r="G172" s="104">
        <v>86.1</v>
      </c>
      <c r="H172" s="104">
        <v>45.5</v>
      </c>
      <c r="I172" s="107">
        <f t="shared" si="34"/>
        <v>52.84552845528455</v>
      </c>
      <c r="J172" s="104">
        <v>52.9</v>
      </c>
      <c r="K172" s="104"/>
      <c r="L172" s="104">
        <v>45.5</v>
      </c>
      <c r="M172" s="108"/>
      <c r="N172" s="13"/>
      <c r="O172" s="127">
        <f t="shared" si="43"/>
        <v>86.01134215500946</v>
      </c>
      <c r="P172" s="105">
        <f t="shared" si="35"/>
        <v>139</v>
      </c>
      <c r="Q172" s="115">
        <f t="shared" si="36"/>
        <v>91</v>
      </c>
      <c r="R172" s="115">
        <f t="shared" si="37"/>
        <v>-48</v>
      </c>
      <c r="S172" s="126">
        <f t="shared" si="38"/>
        <v>65.46762589928058</v>
      </c>
    </row>
    <row r="173" spans="3:19" s="38" customFormat="1" ht="37.5" customHeight="1" hidden="1">
      <c r="C173" s="24" t="s">
        <v>336</v>
      </c>
      <c r="D173" s="24" t="s">
        <v>321</v>
      </c>
      <c r="E173" s="24"/>
      <c r="F173" s="36" t="s">
        <v>322</v>
      </c>
      <c r="G173" s="105">
        <f>G174</f>
        <v>0</v>
      </c>
      <c r="H173" s="105">
        <f aca="true" t="shared" si="44" ref="H173:N173">H174</f>
        <v>0</v>
      </c>
      <c r="I173" s="107" t="e">
        <f t="shared" si="34"/>
        <v>#DIV/0!</v>
      </c>
      <c r="J173" s="105">
        <f t="shared" si="42"/>
        <v>0</v>
      </c>
      <c r="K173" s="105">
        <f t="shared" si="44"/>
        <v>0</v>
      </c>
      <c r="L173" s="105">
        <f t="shared" si="44"/>
        <v>0</v>
      </c>
      <c r="M173" s="105">
        <f t="shared" si="44"/>
        <v>0</v>
      </c>
      <c r="N173" s="88">
        <f t="shared" si="44"/>
        <v>0</v>
      </c>
      <c r="O173" s="127" t="e">
        <f t="shared" si="43"/>
        <v>#DIV/0!</v>
      </c>
      <c r="P173" s="105">
        <f aca="true" t="shared" si="45" ref="P173:P181">G173+J173</f>
        <v>0</v>
      </c>
      <c r="Q173" s="115">
        <f aca="true" t="shared" si="46" ref="Q173:Q181">H173+L173</f>
        <v>0</v>
      </c>
      <c r="R173" s="115">
        <f aca="true" t="shared" si="47" ref="R173:R181">Q173-P173</f>
        <v>0</v>
      </c>
      <c r="S173" s="126" t="e">
        <f aca="true" t="shared" si="48" ref="S173:S181">Q173/P173*100</f>
        <v>#DIV/0!</v>
      </c>
    </row>
    <row r="174" spans="3:19" s="6" customFormat="1" ht="31.5" customHeight="1" hidden="1">
      <c r="C174" s="26" t="s">
        <v>250</v>
      </c>
      <c r="D174" s="26" t="s">
        <v>251</v>
      </c>
      <c r="E174" s="26"/>
      <c r="F174" s="27" t="s">
        <v>252</v>
      </c>
      <c r="G174" s="104">
        <f>G175</f>
        <v>0</v>
      </c>
      <c r="H174" s="104">
        <f aca="true" t="shared" si="49" ref="H174:N175">H175</f>
        <v>0</v>
      </c>
      <c r="I174" s="107" t="e">
        <f t="shared" si="34"/>
        <v>#DIV/0!</v>
      </c>
      <c r="J174" s="104">
        <f t="shared" si="42"/>
        <v>0</v>
      </c>
      <c r="K174" s="104">
        <f t="shared" si="49"/>
        <v>0</v>
      </c>
      <c r="L174" s="104">
        <f t="shared" si="49"/>
        <v>0</v>
      </c>
      <c r="M174" s="104">
        <f t="shared" si="49"/>
        <v>0</v>
      </c>
      <c r="N174" s="86">
        <f t="shared" si="49"/>
        <v>0</v>
      </c>
      <c r="O174" s="127" t="e">
        <f t="shared" si="43"/>
        <v>#DIV/0!</v>
      </c>
      <c r="P174" s="105">
        <f t="shared" si="45"/>
        <v>0</v>
      </c>
      <c r="Q174" s="115">
        <f t="shared" si="46"/>
        <v>0</v>
      </c>
      <c r="R174" s="115">
        <f t="shared" si="47"/>
        <v>0</v>
      </c>
      <c r="S174" s="126" t="e">
        <f t="shared" si="48"/>
        <v>#DIV/0!</v>
      </c>
    </row>
    <row r="175" spans="3:19" s="30" customFormat="1" ht="40.5" customHeight="1" hidden="1">
      <c r="C175" s="26" t="s">
        <v>253</v>
      </c>
      <c r="D175" s="26" t="s">
        <v>256</v>
      </c>
      <c r="E175" s="26" t="s">
        <v>84</v>
      </c>
      <c r="F175" s="27" t="s">
        <v>254</v>
      </c>
      <c r="G175" s="104">
        <f>G176</f>
        <v>0</v>
      </c>
      <c r="H175" s="104">
        <f t="shared" si="49"/>
        <v>0</v>
      </c>
      <c r="I175" s="107" t="e">
        <f t="shared" si="34"/>
        <v>#DIV/0!</v>
      </c>
      <c r="J175" s="104">
        <f t="shared" si="42"/>
        <v>0</v>
      </c>
      <c r="K175" s="104">
        <f t="shared" si="49"/>
        <v>0</v>
      </c>
      <c r="L175" s="104">
        <f t="shared" si="49"/>
        <v>0</v>
      </c>
      <c r="M175" s="104">
        <f t="shared" si="49"/>
        <v>0</v>
      </c>
      <c r="N175" s="86">
        <f t="shared" si="49"/>
        <v>0</v>
      </c>
      <c r="O175" s="127" t="e">
        <f t="shared" si="43"/>
        <v>#DIV/0!</v>
      </c>
      <c r="P175" s="105">
        <f t="shared" si="45"/>
        <v>0</v>
      </c>
      <c r="Q175" s="115">
        <f t="shared" si="46"/>
        <v>0</v>
      </c>
      <c r="R175" s="115">
        <f t="shared" si="47"/>
        <v>0</v>
      </c>
      <c r="S175" s="126" t="e">
        <f t="shared" si="48"/>
        <v>#DIV/0!</v>
      </c>
    </row>
    <row r="176" spans="3:19" s="30" customFormat="1" ht="96" customHeight="1" hidden="1">
      <c r="C176" s="26"/>
      <c r="D176" s="26"/>
      <c r="E176" s="26"/>
      <c r="F176" s="27" t="s">
        <v>255</v>
      </c>
      <c r="G176" s="104"/>
      <c r="H176" s="108"/>
      <c r="I176" s="107" t="e">
        <f t="shared" si="34"/>
        <v>#DIV/0!</v>
      </c>
      <c r="J176" s="104">
        <f t="shared" si="42"/>
        <v>0</v>
      </c>
      <c r="K176" s="104"/>
      <c r="L176" s="108"/>
      <c r="M176" s="108"/>
      <c r="N176" s="86"/>
      <c r="O176" s="127" t="e">
        <f t="shared" si="43"/>
        <v>#DIV/0!</v>
      </c>
      <c r="P176" s="105">
        <f t="shared" si="45"/>
        <v>0</v>
      </c>
      <c r="Q176" s="115">
        <f t="shared" si="46"/>
        <v>0</v>
      </c>
      <c r="R176" s="115">
        <f t="shared" si="47"/>
        <v>0</v>
      </c>
      <c r="S176" s="126" t="e">
        <f t="shared" si="48"/>
        <v>#DIV/0!</v>
      </c>
    </row>
    <row r="177" spans="3:19" s="38" customFormat="1" ht="34.5" customHeight="1">
      <c r="C177" s="24"/>
      <c r="D177" s="24"/>
      <c r="E177" s="24"/>
      <c r="F177" s="25" t="s">
        <v>361</v>
      </c>
      <c r="G177" s="105">
        <f>G178</f>
        <v>0</v>
      </c>
      <c r="H177" s="105">
        <f>H178</f>
        <v>0</v>
      </c>
      <c r="I177" s="107"/>
      <c r="J177" s="105">
        <f>J178</f>
        <v>18025</v>
      </c>
      <c r="K177" s="105">
        <f>K178</f>
        <v>0</v>
      </c>
      <c r="L177" s="105">
        <f>L178</f>
        <v>0</v>
      </c>
      <c r="M177" s="105">
        <f>M178</f>
        <v>0</v>
      </c>
      <c r="N177" s="88">
        <f>N181</f>
        <v>0</v>
      </c>
      <c r="O177" s="127">
        <f t="shared" si="43"/>
        <v>0</v>
      </c>
      <c r="P177" s="105">
        <f t="shared" si="45"/>
        <v>18025</v>
      </c>
      <c r="Q177" s="115">
        <f t="shared" si="46"/>
        <v>0</v>
      </c>
      <c r="R177" s="115">
        <f t="shared" si="47"/>
        <v>-18025</v>
      </c>
      <c r="S177" s="126">
        <f t="shared" si="48"/>
        <v>0</v>
      </c>
    </row>
    <row r="178" spans="3:19" s="38" customFormat="1" ht="57">
      <c r="C178" s="26" t="s">
        <v>590</v>
      </c>
      <c r="D178" s="26" t="s">
        <v>591</v>
      </c>
      <c r="E178" s="26" t="s">
        <v>49</v>
      </c>
      <c r="F178" s="27" t="s">
        <v>592</v>
      </c>
      <c r="G178" s="105">
        <f>G179+G180</f>
        <v>0</v>
      </c>
      <c r="H178" s="105">
        <f aca="true" t="shared" si="50" ref="H178:M178">H179+H180</f>
        <v>0</v>
      </c>
      <c r="I178" s="107"/>
      <c r="J178" s="105">
        <f t="shared" si="50"/>
        <v>18025</v>
      </c>
      <c r="K178" s="105">
        <f t="shared" si="50"/>
        <v>0</v>
      </c>
      <c r="L178" s="105">
        <f t="shared" si="50"/>
        <v>0</v>
      </c>
      <c r="M178" s="105">
        <f t="shared" si="50"/>
        <v>0</v>
      </c>
      <c r="N178" s="88"/>
      <c r="O178" s="127">
        <f t="shared" si="43"/>
        <v>0</v>
      </c>
      <c r="P178" s="105">
        <f t="shared" si="45"/>
        <v>18025</v>
      </c>
      <c r="Q178" s="115">
        <f t="shared" si="46"/>
        <v>0</v>
      </c>
      <c r="R178" s="115">
        <f t="shared" si="47"/>
        <v>-18025</v>
      </c>
      <c r="S178" s="126">
        <f t="shared" si="48"/>
        <v>0</v>
      </c>
    </row>
    <row r="179" spans="3:19" s="38" customFormat="1" ht="57">
      <c r="C179" s="26"/>
      <c r="D179" s="26"/>
      <c r="E179" s="26"/>
      <c r="F179" s="27" t="s">
        <v>593</v>
      </c>
      <c r="G179" s="105"/>
      <c r="H179" s="105"/>
      <c r="I179" s="107"/>
      <c r="J179" s="105">
        <v>17500</v>
      </c>
      <c r="K179" s="105"/>
      <c r="L179" s="105"/>
      <c r="M179" s="105"/>
      <c r="N179" s="88"/>
      <c r="O179" s="127">
        <f t="shared" si="43"/>
        <v>0</v>
      </c>
      <c r="P179" s="105">
        <f t="shared" si="45"/>
        <v>17500</v>
      </c>
      <c r="Q179" s="115">
        <f t="shared" si="46"/>
        <v>0</v>
      </c>
      <c r="R179" s="115">
        <f t="shared" si="47"/>
        <v>-17500</v>
      </c>
      <c r="S179" s="126">
        <f t="shared" si="48"/>
        <v>0</v>
      </c>
    </row>
    <row r="180" spans="3:19" s="38" customFormat="1" ht="75.75">
      <c r="C180" s="26"/>
      <c r="D180" s="26"/>
      <c r="E180" s="26"/>
      <c r="F180" s="27" t="s">
        <v>594</v>
      </c>
      <c r="G180" s="105"/>
      <c r="H180" s="105"/>
      <c r="I180" s="107"/>
      <c r="J180" s="105">
        <v>525</v>
      </c>
      <c r="K180" s="105"/>
      <c r="L180" s="105"/>
      <c r="M180" s="105"/>
      <c r="N180" s="88"/>
      <c r="O180" s="127">
        <f t="shared" si="43"/>
        <v>0</v>
      </c>
      <c r="P180" s="105">
        <f t="shared" si="45"/>
        <v>525</v>
      </c>
      <c r="Q180" s="115">
        <f t="shared" si="46"/>
        <v>0</v>
      </c>
      <c r="R180" s="115">
        <f t="shared" si="47"/>
        <v>-525</v>
      </c>
      <c r="S180" s="126">
        <f t="shared" si="48"/>
        <v>0</v>
      </c>
    </row>
    <row r="181" spans="3:19" s="6" customFormat="1" ht="47.25" customHeight="1" hidden="1">
      <c r="C181" s="26" t="s">
        <v>337</v>
      </c>
      <c r="D181" s="26" t="s">
        <v>181</v>
      </c>
      <c r="E181" s="26"/>
      <c r="F181" s="27" t="s">
        <v>182</v>
      </c>
      <c r="G181" s="104">
        <f>G182</f>
        <v>0</v>
      </c>
      <c r="H181" s="104">
        <f aca="true" t="shared" si="51" ref="H181:N181">H182</f>
        <v>0</v>
      </c>
      <c r="I181" s="107" t="e">
        <f t="shared" si="34"/>
        <v>#DIV/0!</v>
      </c>
      <c r="J181" s="104">
        <f t="shared" si="42"/>
        <v>0</v>
      </c>
      <c r="K181" s="104">
        <f t="shared" si="51"/>
        <v>0</v>
      </c>
      <c r="L181" s="104">
        <f t="shared" si="51"/>
        <v>0</v>
      </c>
      <c r="M181" s="104">
        <f t="shared" si="51"/>
        <v>0</v>
      </c>
      <c r="N181" s="86">
        <f t="shared" si="51"/>
        <v>0</v>
      </c>
      <c r="O181" s="127" t="e">
        <f t="shared" si="43"/>
        <v>#DIV/0!</v>
      </c>
      <c r="P181" s="105">
        <f t="shared" si="45"/>
        <v>0</v>
      </c>
      <c r="Q181" s="115">
        <f t="shared" si="46"/>
        <v>0</v>
      </c>
      <c r="R181" s="115">
        <f t="shared" si="47"/>
        <v>0</v>
      </c>
      <c r="S181" s="126" t="e">
        <f t="shared" si="48"/>
        <v>#DIV/0!</v>
      </c>
    </row>
    <row r="182" spans="3:19" s="6" customFormat="1" ht="36.75" customHeight="1" hidden="1">
      <c r="C182" s="26" t="s">
        <v>248</v>
      </c>
      <c r="D182" s="26" t="s">
        <v>201</v>
      </c>
      <c r="E182" s="26"/>
      <c r="F182" s="33" t="s">
        <v>202</v>
      </c>
      <c r="G182" s="104">
        <f>G183</f>
        <v>0</v>
      </c>
      <c r="H182" s="104">
        <f>H184</f>
        <v>0</v>
      </c>
      <c r="I182" s="107" t="e">
        <f t="shared" si="34"/>
        <v>#DIV/0!</v>
      </c>
      <c r="J182" s="104">
        <f aca="true" t="shared" si="52" ref="J182:J188">K182+N182</f>
        <v>0</v>
      </c>
      <c r="K182" s="104">
        <f aca="true" t="shared" si="53" ref="K182:N183">K183</f>
        <v>0</v>
      </c>
      <c r="L182" s="104">
        <f t="shared" si="53"/>
        <v>0</v>
      </c>
      <c r="M182" s="104">
        <f t="shared" si="53"/>
        <v>0</v>
      </c>
      <c r="N182" s="86">
        <f t="shared" si="53"/>
        <v>0</v>
      </c>
      <c r="O182" s="127" t="e">
        <f t="shared" si="43"/>
        <v>#DIV/0!</v>
      </c>
      <c r="P182" s="105">
        <f aca="true" t="shared" si="54" ref="P182:P191">G182+J182</f>
        <v>0</v>
      </c>
      <c r="Q182" s="115">
        <f aca="true" t="shared" si="55" ref="Q182:Q191">H182+L182</f>
        <v>0</v>
      </c>
      <c r="R182" s="115">
        <f aca="true" t="shared" si="56" ref="R182:R191">Q182-P182</f>
        <v>0</v>
      </c>
      <c r="S182" s="126" t="e">
        <f aca="true" t="shared" si="57" ref="S182:S191">Q182/P182*100</f>
        <v>#DIV/0!</v>
      </c>
    </row>
    <row r="183" spans="3:19" s="6" customFormat="1" ht="136.5" customHeight="1" hidden="1">
      <c r="C183" s="26" t="s">
        <v>414</v>
      </c>
      <c r="D183" s="26" t="s">
        <v>415</v>
      </c>
      <c r="E183" s="26" t="s">
        <v>49</v>
      </c>
      <c r="F183" s="27" t="s">
        <v>416</v>
      </c>
      <c r="G183" s="104">
        <f>G184</f>
        <v>0</v>
      </c>
      <c r="H183" s="104"/>
      <c r="I183" s="107" t="e">
        <f t="shared" si="34"/>
        <v>#DIV/0!</v>
      </c>
      <c r="J183" s="104">
        <f t="shared" si="52"/>
        <v>0</v>
      </c>
      <c r="K183" s="104">
        <f t="shared" si="53"/>
        <v>0</v>
      </c>
      <c r="L183" s="104">
        <f t="shared" si="53"/>
        <v>0</v>
      </c>
      <c r="M183" s="104">
        <f t="shared" si="53"/>
        <v>0</v>
      </c>
      <c r="N183" s="86">
        <f t="shared" si="53"/>
        <v>0</v>
      </c>
      <c r="O183" s="127" t="e">
        <f t="shared" si="43"/>
        <v>#DIV/0!</v>
      </c>
      <c r="P183" s="105">
        <f t="shared" si="54"/>
        <v>0</v>
      </c>
      <c r="Q183" s="115">
        <f t="shared" si="55"/>
        <v>0</v>
      </c>
      <c r="R183" s="115">
        <f t="shared" si="56"/>
        <v>0</v>
      </c>
      <c r="S183" s="126" t="e">
        <f t="shared" si="57"/>
        <v>#DIV/0!</v>
      </c>
    </row>
    <row r="184" spans="3:19" s="30" customFormat="1" ht="60.75" customHeight="1" hidden="1">
      <c r="C184" s="26"/>
      <c r="D184" s="26"/>
      <c r="E184" s="26"/>
      <c r="F184" s="27" t="s">
        <v>129</v>
      </c>
      <c r="G184" s="104"/>
      <c r="H184" s="108"/>
      <c r="I184" s="107" t="e">
        <f t="shared" si="34"/>
        <v>#DIV/0!</v>
      </c>
      <c r="J184" s="104">
        <f t="shared" si="52"/>
        <v>0</v>
      </c>
      <c r="K184" s="104"/>
      <c r="L184" s="108"/>
      <c r="M184" s="108"/>
      <c r="N184" s="86"/>
      <c r="O184" s="127" t="e">
        <f t="shared" si="43"/>
        <v>#DIV/0!</v>
      </c>
      <c r="P184" s="105">
        <f t="shared" si="54"/>
        <v>0</v>
      </c>
      <c r="Q184" s="115">
        <f t="shared" si="55"/>
        <v>0</v>
      </c>
      <c r="R184" s="115">
        <f t="shared" si="56"/>
        <v>0</v>
      </c>
      <c r="S184" s="126" t="e">
        <f t="shared" si="57"/>
        <v>#DIV/0!</v>
      </c>
    </row>
    <row r="185" spans="3:19" s="38" customFormat="1" ht="39.75" customHeight="1" hidden="1">
      <c r="C185" s="24" t="s">
        <v>338</v>
      </c>
      <c r="D185" s="24" t="s">
        <v>326</v>
      </c>
      <c r="E185" s="24"/>
      <c r="F185" s="25" t="s">
        <v>327</v>
      </c>
      <c r="G185" s="105">
        <f>G186</f>
        <v>0</v>
      </c>
      <c r="H185" s="105">
        <f>H186</f>
        <v>0</v>
      </c>
      <c r="I185" s="107" t="e">
        <f t="shared" si="34"/>
        <v>#DIV/0!</v>
      </c>
      <c r="J185" s="105">
        <f t="shared" si="52"/>
        <v>0</v>
      </c>
      <c r="K185" s="105">
        <f>K186</f>
        <v>0</v>
      </c>
      <c r="L185" s="105">
        <f>L186</f>
        <v>0</v>
      </c>
      <c r="M185" s="105">
        <f>M186</f>
        <v>0</v>
      </c>
      <c r="N185" s="88">
        <f>N186</f>
        <v>0</v>
      </c>
      <c r="O185" s="127" t="e">
        <f t="shared" si="43"/>
        <v>#DIV/0!</v>
      </c>
      <c r="P185" s="105">
        <f t="shared" si="54"/>
        <v>0</v>
      </c>
      <c r="Q185" s="115">
        <f t="shared" si="55"/>
        <v>0</v>
      </c>
      <c r="R185" s="115">
        <f t="shared" si="56"/>
        <v>0</v>
      </c>
      <c r="S185" s="126" t="e">
        <f t="shared" si="57"/>
        <v>#DIV/0!</v>
      </c>
    </row>
    <row r="186" spans="3:19" s="6" customFormat="1" ht="60.75" customHeight="1" hidden="1">
      <c r="C186" s="26" t="s">
        <v>339</v>
      </c>
      <c r="D186" s="26" t="s">
        <v>329</v>
      </c>
      <c r="E186" s="26"/>
      <c r="F186" s="27" t="s">
        <v>418</v>
      </c>
      <c r="G186" s="104">
        <f>G187</f>
        <v>0</v>
      </c>
      <c r="H186" s="104">
        <f aca="true" t="shared" si="58" ref="H186:N186">H187</f>
        <v>0</v>
      </c>
      <c r="I186" s="107" t="e">
        <f t="shared" si="34"/>
        <v>#DIV/0!</v>
      </c>
      <c r="J186" s="104">
        <f t="shared" si="52"/>
        <v>0</v>
      </c>
      <c r="K186" s="104">
        <f t="shared" si="58"/>
        <v>0</v>
      </c>
      <c r="L186" s="104">
        <f t="shared" si="58"/>
        <v>0</v>
      </c>
      <c r="M186" s="104">
        <f t="shared" si="58"/>
        <v>0</v>
      </c>
      <c r="N186" s="86">
        <f t="shared" si="58"/>
        <v>0</v>
      </c>
      <c r="O186" s="127" t="e">
        <f t="shared" si="43"/>
        <v>#DIV/0!</v>
      </c>
      <c r="P186" s="105">
        <f t="shared" si="54"/>
        <v>0</v>
      </c>
      <c r="Q186" s="115">
        <f t="shared" si="55"/>
        <v>0</v>
      </c>
      <c r="R186" s="115">
        <f t="shared" si="56"/>
        <v>0</v>
      </c>
      <c r="S186" s="126" t="e">
        <f t="shared" si="57"/>
        <v>#DIV/0!</v>
      </c>
    </row>
    <row r="187" spans="3:19" s="30" customFormat="1" ht="34.5" customHeight="1" hidden="1">
      <c r="C187" s="26" t="s">
        <v>258</v>
      </c>
      <c r="D187" s="26" t="s">
        <v>259</v>
      </c>
      <c r="E187" s="26" t="s">
        <v>46</v>
      </c>
      <c r="F187" s="27" t="s">
        <v>257</v>
      </c>
      <c r="G187" s="104">
        <f>G188</f>
        <v>0</v>
      </c>
      <c r="H187" s="104">
        <f aca="true" t="shared" si="59" ref="H187:N187">H188</f>
        <v>0</v>
      </c>
      <c r="I187" s="107" t="e">
        <f t="shared" si="34"/>
        <v>#DIV/0!</v>
      </c>
      <c r="J187" s="104">
        <f t="shared" si="52"/>
        <v>0</v>
      </c>
      <c r="K187" s="104">
        <f t="shared" si="59"/>
        <v>0</v>
      </c>
      <c r="L187" s="104">
        <f t="shared" si="59"/>
        <v>0</v>
      </c>
      <c r="M187" s="104">
        <f t="shared" si="59"/>
        <v>0</v>
      </c>
      <c r="N187" s="86">
        <f t="shared" si="59"/>
        <v>0</v>
      </c>
      <c r="O187" s="127" t="e">
        <f t="shared" si="43"/>
        <v>#DIV/0!</v>
      </c>
      <c r="P187" s="105">
        <f t="shared" si="54"/>
        <v>0</v>
      </c>
      <c r="Q187" s="115">
        <f t="shared" si="55"/>
        <v>0</v>
      </c>
      <c r="R187" s="115">
        <f t="shared" si="56"/>
        <v>0</v>
      </c>
      <c r="S187" s="126" t="e">
        <f t="shared" si="57"/>
        <v>#DIV/0!</v>
      </c>
    </row>
    <row r="188" spans="3:19" s="30" customFormat="1" ht="177" customHeight="1" hidden="1">
      <c r="C188" s="26"/>
      <c r="D188" s="26"/>
      <c r="E188" s="26"/>
      <c r="F188" s="27" t="s">
        <v>260</v>
      </c>
      <c r="G188" s="104"/>
      <c r="H188" s="108"/>
      <c r="I188" s="107" t="e">
        <f t="shared" si="34"/>
        <v>#DIV/0!</v>
      </c>
      <c r="J188" s="104">
        <f t="shared" si="52"/>
        <v>0</v>
      </c>
      <c r="K188" s="104"/>
      <c r="L188" s="108"/>
      <c r="M188" s="108"/>
      <c r="N188" s="86"/>
      <c r="O188" s="127" t="e">
        <f aca="true" t="shared" si="60" ref="O188:O242">L188/J188*100</f>
        <v>#DIV/0!</v>
      </c>
      <c r="P188" s="105">
        <f t="shared" si="54"/>
        <v>0</v>
      </c>
      <c r="Q188" s="115">
        <f t="shared" si="55"/>
        <v>0</v>
      </c>
      <c r="R188" s="115">
        <f t="shared" si="56"/>
        <v>0</v>
      </c>
      <c r="S188" s="126" t="e">
        <f t="shared" si="57"/>
        <v>#DIV/0!</v>
      </c>
    </row>
    <row r="189" spans="3:19" s="30" customFormat="1" ht="22.5" customHeight="1">
      <c r="C189" s="24"/>
      <c r="D189" s="24"/>
      <c r="E189" s="24"/>
      <c r="F189" s="25" t="s">
        <v>327</v>
      </c>
      <c r="G189" s="104">
        <f>G190</f>
        <v>0</v>
      </c>
      <c r="H189" s="104">
        <f>H190</f>
        <v>0</v>
      </c>
      <c r="I189" s="107"/>
      <c r="J189" s="104">
        <f aca="true" t="shared" si="61" ref="J189:M190">J190</f>
        <v>600</v>
      </c>
      <c r="K189" s="104">
        <f t="shared" si="61"/>
        <v>0</v>
      </c>
      <c r="L189" s="104">
        <f t="shared" si="61"/>
        <v>600</v>
      </c>
      <c r="M189" s="104">
        <f t="shared" si="61"/>
        <v>600</v>
      </c>
      <c r="N189" s="86"/>
      <c r="O189" s="127">
        <f t="shared" si="60"/>
        <v>100</v>
      </c>
      <c r="P189" s="105">
        <f t="shared" si="54"/>
        <v>600</v>
      </c>
      <c r="Q189" s="115">
        <f t="shared" si="55"/>
        <v>600</v>
      </c>
      <c r="R189" s="115">
        <f t="shared" si="56"/>
        <v>0</v>
      </c>
      <c r="S189" s="126">
        <f t="shared" si="57"/>
        <v>100</v>
      </c>
    </row>
    <row r="190" spans="3:19" s="30" customFormat="1" ht="30" customHeight="1">
      <c r="C190" s="26" t="s">
        <v>258</v>
      </c>
      <c r="D190" s="26" t="s">
        <v>259</v>
      </c>
      <c r="E190" s="26" t="s">
        <v>46</v>
      </c>
      <c r="F190" s="27" t="s">
        <v>257</v>
      </c>
      <c r="G190" s="104">
        <f>G191</f>
        <v>0</v>
      </c>
      <c r="H190" s="104">
        <f>H191</f>
        <v>0</v>
      </c>
      <c r="I190" s="107"/>
      <c r="J190" s="104">
        <f t="shared" si="61"/>
        <v>600</v>
      </c>
      <c r="K190" s="104">
        <f t="shared" si="61"/>
        <v>0</v>
      </c>
      <c r="L190" s="104">
        <f t="shared" si="61"/>
        <v>600</v>
      </c>
      <c r="M190" s="104">
        <f t="shared" si="61"/>
        <v>600</v>
      </c>
      <c r="N190" s="86"/>
      <c r="O190" s="127">
        <f t="shared" si="60"/>
        <v>100</v>
      </c>
      <c r="P190" s="105">
        <f t="shared" si="54"/>
        <v>600</v>
      </c>
      <c r="Q190" s="115">
        <f t="shared" si="55"/>
        <v>600</v>
      </c>
      <c r="R190" s="115">
        <f t="shared" si="56"/>
        <v>0</v>
      </c>
      <c r="S190" s="126">
        <f t="shared" si="57"/>
        <v>100</v>
      </c>
    </row>
    <row r="191" spans="3:19" s="30" customFormat="1" ht="189" customHeight="1">
      <c r="C191" s="26"/>
      <c r="D191" s="26"/>
      <c r="E191" s="26"/>
      <c r="F191" s="27" t="s">
        <v>584</v>
      </c>
      <c r="G191" s="104"/>
      <c r="H191" s="108"/>
      <c r="I191" s="107"/>
      <c r="J191" s="104">
        <v>600</v>
      </c>
      <c r="K191" s="104"/>
      <c r="L191" s="108">
        <v>600</v>
      </c>
      <c r="M191" s="108">
        <v>600</v>
      </c>
      <c r="N191" s="86"/>
      <c r="O191" s="127">
        <f t="shared" si="60"/>
        <v>100</v>
      </c>
      <c r="P191" s="105">
        <f t="shared" si="54"/>
        <v>600</v>
      </c>
      <c r="Q191" s="115">
        <f t="shared" si="55"/>
        <v>600</v>
      </c>
      <c r="R191" s="115">
        <f t="shared" si="56"/>
        <v>0</v>
      </c>
      <c r="S191" s="126">
        <f t="shared" si="57"/>
        <v>100</v>
      </c>
    </row>
    <row r="192" spans="3:19" s="69" customFormat="1" ht="32.25" customHeight="1">
      <c r="C192" s="70"/>
      <c r="D192" s="70"/>
      <c r="E192" s="70"/>
      <c r="F192" s="73" t="s">
        <v>9</v>
      </c>
      <c r="G192" s="109">
        <f>G84+G88+G115+G173+G177+G185</f>
        <v>147131.1</v>
      </c>
      <c r="H192" s="109">
        <f>H84+H88+H115+H173+H177+H185</f>
        <v>101747.79999999999</v>
      </c>
      <c r="I192" s="107">
        <f t="shared" si="34"/>
        <v>69.15451593850653</v>
      </c>
      <c r="J192" s="109">
        <f>J84+J88+J115+J173+J177+J185+J189</f>
        <v>26512</v>
      </c>
      <c r="K192" s="109">
        <f>K84+K88+K115+K173+K177+K185+K189</f>
        <v>6707.0024</v>
      </c>
      <c r="L192" s="109">
        <f>L84+L88+L115+L173+L177+L185+L189</f>
        <v>6117.4</v>
      </c>
      <c r="M192" s="109">
        <f>M84+M88+M115+M173+M177+M185+M189</f>
        <v>756.1</v>
      </c>
      <c r="N192" s="89" t="e">
        <f>N84+N88+N115+N173+N177+N185</f>
        <v>#REF!</v>
      </c>
      <c r="O192" s="127">
        <f t="shared" si="60"/>
        <v>23.07407966203983</v>
      </c>
      <c r="P192" s="105">
        <f t="shared" si="35"/>
        <v>173643.1</v>
      </c>
      <c r="Q192" s="115">
        <f t="shared" si="36"/>
        <v>107865.19999999998</v>
      </c>
      <c r="R192" s="115">
        <f t="shared" si="37"/>
        <v>-65777.90000000002</v>
      </c>
      <c r="S192" s="126">
        <f t="shared" si="38"/>
        <v>62.118909418226224</v>
      </c>
    </row>
    <row r="193" spans="3:19" s="38" customFormat="1" ht="48.75" customHeight="1">
      <c r="C193" s="24" t="s">
        <v>154</v>
      </c>
      <c r="D193" s="24"/>
      <c r="E193" s="24"/>
      <c r="F193" s="36" t="s">
        <v>612</v>
      </c>
      <c r="G193" s="105"/>
      <c r="H193" s="105"/>
      <c r="I193" s="107"/>
      <c r="J193" s="105"/>
      <c r="K193" s="105"/>
      <c r="L193" s="105"/>
      <c r="M193" s="105"/>
      <c r="N193" s="88"/>
      <c r="O193" s="127"/>
      <c r="P193" s="105"/>
      <c r="Q193" s="115"/>
      <c r="R193" s="115"/>
      <c r="S193" s="126"/>
    </row>
    <row r="194" spans="3:19" s="6" customFormat="1" ht="51.75" customHeight="1">
      <c r="C194" s="26" t="s">
        <v>297</v>
      </c>
      <c r="D194" s="26"/>
      <c r="E194" s="26"/>
      <c r="F194" s="36" t="s">
        <v>613</v>
      </c>
      <c r="G194" s="104"/>
      <c r="H194" s="104"/>
      <c r="I194" s="107"/>
      <c r="J194" s="104"/>
      <c r="K194" s="104"/>
      <c r="L194" s="104"/>
      <c r="M194" s="104"/>
      <c r="N194" s="86"/>
      <c r="O194" s="127"/>
      <c r="P194" s="105"/>
      <c r="Q194" s="115"/>
      <c r="R194" s="115"/>
      <c r="S194" s="126"/>
    </row>
    <row r="195" spans="3:19" s="38" customFormat="1" ht="37.5" customHeight="1">
      <c r="C195" s="24"/>
      <c r="D195" s="24"/>
      <c r="E195" s="24"/>
      <c r="F195" s="36" t="s">
        <v>331</v>
      </c>
      <c r="G195" s="105">
        <f>G196</f>
        <v>1872.5</v>
      </c>
      <c r="H195" s="105">
        <f>H196</f>
        <v>1654.8</v>
      </c>
      <c r="I195" s="107">
        <f t="shared" si="34"/>
        <v>88.37383177570092</v>
      </c>
      <c r="J195" s="105">
        <f>J196</f>
        <v>386.8</v>
      </c>
      <c r="K195" s="105">
        <f>K196</f>
        <v>18</v>
      </c>
      <c r="L195" s="105">
        <f>L196</f>
        <v>46.7</v>
      </c>
      <c r="M195" s="105">
        <f>M196</f>
        <v>34.5</v>
      </c>
      <c r="N195" s="88">
        <f>N196</f>
        <v>20</v>
      </c>
      <c r="O195" s="127">
        <f t="shared" si="60"/>
        <v>12.073422957600828</v>
      </c>
      <c r="P195" s="105">
        <f t="shared" si="35"/>
        <v>2259.3</v>
      </c>
      <c r="Q195" s="115">
        <f t="shared" si="36"/>
        <v>1701.5</v>
      </c>
      <c r="R195" s="115">
        <f t="shared" si="37"/>
        <v>-557.8000000000002</v>
      </c>
      <c r="S195" s="126">
        <f t="shared" si="38"/>
        <v>75.31093701588986</v>
      </c>
    </row>
    <row r="196" spans="1:19" s="6" customFormat="1" ht="60" customHeight="1">
      <c r="A196" s="6">
        <v>4</v>
      </c>
      <c r="B196" s="6">
        <v>35</v>
      </c>
      <c r="C196" s="26" t="s">
        <v>155</v>
      </c>
      <c r="D196" s="26" t="s">
        <v>51</v>
      </c>
      <c r="E196" s="26" t="s">
        <v>47</v>
      </c>
      <c r="F196" s="27" t="s">
        <v>156</v>
      </c>
      <c r="G196" s="104">
        <f>G197+G198</f>
        <v>1872.5</v>
      </c>
      <c r="H196" s="104">
        <f>H197+H198</f>
        <v>1654.8</v>
      </c>
      <c r="I196" s="107">
        <f t="shared" si="34"/>
        <v>88.37383177570092</v>
      </c>
      <c r="J196" s="104">
        <f>J197+J198</f>
        <v>386.8</v>
      </c>
      <c r="K196" s="104">
        <f>K197+K198</f>
        <v>18</v>
      </c>
      <c r="L196" s="104">
        <f>L197+L198</f>
        <v>46.7</v>
      </c>
      <c r="M196" s="104">
        <f>M197+M198</f>
        <v>34.5</v>
      </c>
      <c r="N196" s="12">
        <f>N197+N198</f>
        <v>20</v>
      </c>
      <c r="O196" s="127">
        <f t="shared" si="60"/>
        <v>12.073422957600828</v>
      </c>
      <c r="P196" s="105">
        <f t="shared" si="35"/>
        <v>2259.3</v>
      </c>
      <c r="Q196" s="115">
        <f t="shared" si="36"/>
        <v>1701.5</v>
      </c>
      <c r="R196" s="115">
        <f t="shared" si="37"/>
        <v>-557.8000000000002</v>
      </c>
      <c r="S196" s="126">
        <f t="shared" si="38"/>
        <v>75.31093701588986</v>
      </c>
    </row>
    <row r="197" spans="3:19" s="30" customFormat="1" ht="50.25" customHeight="1">
      <c r="C197" s="26"/>
      <c r="D197" s="26"/>
      <c r="E197" s="26"/>
      <c r="F197" s="27" t="s">
        <v>157</v>
      </c>
      <c r="G197" s="104">
        <v>1872.5</v>
      </c>
      <c r="H197" s="104">
        <v>1654.8</v>
      </c>
      <c r="I197" s="107">
        <f t="shared" si="34"/>
        <v>88.37383177570092</v>
      </c>
      <c r="J197" s="104">
        <f>18+350</f>
        <v>368</v>
      </c>
      <c r="K197" s="104">
        <v>18</v>
      </c>
      <c r="L197" s="104">
        <f>12.2+15.7</f>
        <v>27.9</v>
      </c>
      <c r="M197" s="104">
        <v>15.7</v>
      </c>
      <c r="N197" s="86"/>
      <c r="O197" s="127">
        <f t="shared" si="60"/>
        <v>7.581521739130434</v>
      </c>
      <c r="P197" s="105">
        <f t="shared" si="35"/>
        <v>2240.5</v>
      </c>
      <c r="Q197" s="115">
        <f t="shared" si="36"/>
        <v>1682.7</v>
      </c>
      <c r="R197" s="115">
        <f t="shared" si="37"/>
        <v>-557.8</v>
      </c>
      <c r="S197" s="126">
        <f t="shared" si="38"/>
        <v>75.10377147958044</v>
      </c>
    </row>
    <row r="198" spans="3:19" s="30" customFormat="1" ht="50.25" customHeight="1">
      <c r="C198" s="26"/>
      <c r="D198" s="26"/>
      <c r="E198" s="26"/>
      <c r="F198" s="27" t="s">
        <v>491</v>
      </c>
      <c r="G198" s="104"/>
      <c r="H198" s="104"/>
      <c r="I198" s="128" t="e">
        <f t="shared" si="34"/>
        <v>#DIV/0!</v>
      </c>
      <c r="J198" s="104">
        <v>18.8</v>
      </c>
      <c r="K198" s="104"/>
      <c r="L198" s="104">
        <v>18.8</v>
      </c>
      <c r="M198" s="104">
        <v>18.8</v>
      </c>
      <c r="N198" s="86">
        <v>20</v>
      </c>
      <c r="O198" s="127">
        <f t="shared" si="60"/>
        <v>100</v>
      </c>
      <c r="P198" s="105">
        <f t="shared" si="35"/>
        <v>18.8</v>
      </c>
      <c r="Q198" s="115">
        <f t="shared" si="36"/>
        <v>18.8</v>
      </c>
      <c r="R198" s="115">
        <f t="shared" si="37"/>
        <v>0</v>
      </c>
      <c r="S198" s="126">
        <f t="shared" si="38"/>
        <v>100</v>
      </c>
    </row>
    <row r="199" spans="3:19" s="38" customFormat="1" ht="38.25" customHeight="1" hidden="1">
      <c r="C199" s="24" t="s">
        <v>340</v>
      </c>
      <c r="D199" s="24" t="s">
        <v>295</v>
      </c>
      <c r="E199" s="24"/>
      <c r="F199" s="25" t="s">
        <v>296</v>
      </c>
      <c r="G199" s="105">
        <f>G200</f>
        <v>0</v>
      </c>
      <c r="H199" s="105">
        <f aca="true" t="shared" si="62" ref="H199:N200">H200</f>
        <v>0</v>
      </c>
      <c r="I199" s="107" t="e">
        <f t="shared" si="34"/>
        <v>#DIV/0!</v>
      </c>
      <c r="J199" s="104">
        <f>K199+N199</f>
        <v>0</v>
      </c>
      <c r="K199" s="105">
        <f t="shared" si="62"/>
        <v>0</v>
      </c>
      <c r="L199" s="105">
        <f t="shared" si="62"/>
        <v>0</v>
      </c>
      <c r="M199" s="105">
        <f t="shared" si="62"/>
        <v>0</v>
      </c>
      <c r="N199" s="88">
        <f t="shared" si="62"/>
        <v>0</v>
      </c>
      <c r="O199" s="127" t="e">
        <f t="shared" si="60"/>
        <v>#DIV/0!</v>
      </c>
      <c r="P199" s="105">
        <f t="shared" si="35"/>
        <v>0</v>
      </c>
      <c r="Q199" s="115">
        <f t="shared" si="36"/>
        <v>0</v>
      </c>
      <c r="R199" s="115">
        <f t="shared" si="37"/>
        <v>0</v>
      </c>
      <c r="S199" s="126" t="e">
        <f t="shared" si="38"/>
        <v>#DIV/0!</v>
      </c>
    </row>
    <row r="200" spans="3:19" s="6" customFormat="1" ht="65.25" customHeight="1" hidden="1">
      <c r="C200" s="26" t="s">
        <v>341</v>
      </c>
      <c r="D200" s="26" t="s">
        <v>110</v>
      </c>
      <c r="E200" s="26"/>
      <c r="F200" s="27" t="s">
        <v>419</v>
      </c>
      <c r="G200" s="104">
        <f>G201</f>
        <v>0</v>
      </c>
      <c r="H200" s="104">
        <f t="shared" si="62"/>
        <v>0</v>
      </c>
      <c r="I200" s="107" t="e">
        <f t="shared" si="34"/>
        <v>#DIV/0!</v>
      </c>
      <c r="J200" s="104">
        <f>K200+N200</f>
        <v>0</v>
      </c>
      <c r="K200" s="104">
        <f t="shared" si="62"/>
        <v>0</v>
      </c>
      <c r="L200" s="104">
        <f t="shared" si="62"/>
        <v>0</v>
      </c>
      <c r="M200" s="104">
        <f t="shared" si="62"/>
        <v>0</v>
      </c>
      <c r="N200" s="86">
        <f t="shared" si="62"/>
        <v>0</v>
      </c>
      <c r="O200" s="127" t="e">
        <f t="shared" si="60"/>
        <v>#DIV/0!</v>
      </c>
      <c r="P200" s="105">
        <f t="shared" si="35"/>
        <v>0</v>
      </c>
      <c r="Q200" s="115">
        <f t="shared" si="36"/>
        <v>0</v>
      </c>
      <c r="R200" s="115">
        <f t="shared" si="37"/>
        <v>0</v>
      </c>
      <c r="S200" s="126" t="e">
        <f t="shared" si="38"/>
        <v>#DIV/0!</v>
      </c>
    </row>
    <row r="201" spans="3:19" s="6" customFormat="1" ht="44.25" customHeight="1" hidden="1">
      <c r="C201" s="26" t="s">
        <v>265</v>
      </c>
      <c r="D201" s="26" t="s">
        <v>82</v>
      </c>
      <c r="E201" s="26"/>
      <c r="F201" s="27" t="s">
        <v>25</v>
      </c>
      <c r="G201" s="104">
        <f>G202</f>
        <v>0</v>
      </c>
      <c r="H201" s="104">
        <f>H202</f>
        <v>0</v>
      </c>
      <c r="I201" s="107" t="e">
        <f t="shared" si="34"/>
        <v>#DIV/0!</v>
      </c>
      <c r="J201" s="104">
        <f>K201+N201</f>
        <v>0</v>
      </c>
      <c r="K201" s="104">
        <f aca="true" t="shared" si="63" ref="K201:N202">K202</f>
        <v>0</v>
      </c>
      <c r="L201" s="104">
        <f t="shared" si="63"/>
        <v>0</v>
      </c>
      <c r="M201" s="104">
        <f t="shared" si="63"/>
        <v>0</v>
      </c>
      <c r="N201" s="86">
        <f t="shared" si="63"/>
        <v>0</v>
      </c>
      <c r="O201" s="127" t="e">
        <f t="shared" si="60"/>
        <v>#DIV/0!</v>
      </c>
      <c r="P201" s="105">
        <f t="shared" si="35"/>
        <v>0</v>
      </c>
      <c r="Q201" s="115">
        <f t="shared" si="36"/>
        <v>0</v>
      </c>
      <c r="R201" s="115">
        <f t="shared" si="37"/>
        <v>0</v>
      </c>
      <c r="S201" s="126" t="e">
        <f t="shared" si="38"/>
        <v>#DIV/0!</v>
      </c>
    </row>
    <row r="202" spans="3:19" s="30" customFormat="1" ht="51.75" customHeight="1" hidden="1">
      <c r="C202" s="26" t="s">
        <v>266</v>
      </c>
      <c r="D202" s="26" t="s">
        <v>83</v>
      </c>
      <c r="E202" s="26" t="s">
        <v>61</v>
      </c>
      <c r="F202" s="27" t="s">
        <v>267</v>
      </c>
      <c r="G202" s="104">
        <f>G203</f>
        <v>0</v>
      </c>
      <c r="H202" s="104">
        <f>H203</f>
        <v>0</v>
      </c>
      <c r="I202" s="107" t="e">
        <f t="shared" si="34"/>
        <v>#DIV/0!</v>
      </c>
      <c r="J202" s="104">
        <f>K202+N202</f>
        <v>0</v>
      </c>
      <c r="K202" s="104">
        <f t="shared" si="63"/>
        <v>0</v>
      </c>
      <c r="L202" s="104">
        <f t="shared" si="63"/>
        <v>0</v>
      </c>
      <c r="M202" s="104">
        <f t="shared" si="63"/>
        <v>0</v>
      </c>
      <c r="N202" s="86">
        <f t="shared" si="63"/>
        <v>0</v>
      </c>
      <c r="O202" s="127" t="e">
        <f t="shared" si="60"/>
        <v>#DIV/0!</v>
      </c>
      <c r="P202" s="105">
        <f t="shared" si="35"/>
        <v>0</v>
      </c>
      <c r="Q202" s="115">
        <f t="shared" si="36"/>
        <v>0</v>
      </c>
      <c r="R202" s="115">
        <f t="shared" si="37"/>
        <v>0</v>
      </c>
      <c r="S202" s="126" t="e">
        <f t="shared" si="38"/>
        <v>#DIV/0!</v>
      </c>
    </row>
    <row r="203" spans="3:19" s="30" customFormat="1" ht="40.5" customHeight="1" hidden="1">
      <c r="C203" s="26"/>
      <c r="D203" s="26"/>
      <c r="E203" s="26"/>
      <c r="F203" s="147" t="s">
        <v>268</v>
      </c>
      <c r="G203" s="104"/>
      <c r="H203" s="104"/>
      <c r="I203" s="107" t="e">
        <f t="shared" si="34"/>
        <v>#DIV/0!</v>
      </c>
      <c r="J203" s="104">
        <f>K203+N203</f>
        <v>0</v>
      </c>
      <c r="K203" s="104"/>
      <c r="L203" s="104"/>
      <c r="M203" s="104"/>
      <c r="N203" s="86"/>
      <c r="O203" s="127" t="e">
        <f t="shared" si="60"/>
        <v>#DIV/0!</v>
      </c>
      <c r="P203" s="105">
        <f t="shared" si="35"/>
        <v>0</v>
      </c>
      <c r="Q203" s="115">
        <f t="shared" si="36"/>
        <v>0</v>
      </c>
      <c r="R203" s="115">
        <f t="shared" si="37"/>
        <v>0</v>
      </c>
      <c r="S203" s="126" t="e">
        <f t="shared" si="38"/>
        <v>#DIV/0!</v>
      </c>
    </row>
    <row r="204" spans="3:19" s="69" customFormat="1" ht="29.25" customHeight="1">
      <c r="C204" s="70"/>
      <c r="D204" s="70"/>
      <c r="E204" s="70"/>
      <c r="F204" s="73" t="s">
        <v>9</v>
      </c>
      <c r="G204" s="109">
        <f aca="true" t="shared" si="64" ref="G204:N204">G195+G199</f>
        <v>1872.5</v>
      </c>
      <c r="H204" s="109">
        <f t="shared" si="64"/>
        <v>1654.8</v>
      </c>
      <c r="I204" s="107">
        <f aca="true" t="shared" si="65" ref="I204:I263">H204/G204*100</f>
        <v>88.37383177570092</v>
      </c>
      <c r="J204" s="109">
        <f t="shared" si="64"/>
        <v>386.8</v>
      </c>
      <c r="K204" s="109">
        <f t="shared" si="64"/>
        <v>18</v>
      </c>
      <c r="L204" s="109">
        <f t="shared" si="64"/>
        <v>46.7</v>
      </c>
      <c r="M204" s="109">
        <f t="shared" si="64"/>
        <v>34.5</v>
      </c>
      <c r="N204" s="89">
        <f t="shared" si="64"/>
        <v>20</v>
      </c>
      <c r="O204" s="127">
        <f t="shared" si="60"/>
        <v>12.073422957600828</v>
      </c>
      <c r="P204" s="105">
        <f aca="true" t="shared" si="66" ref="P204:P263">G204+J204</f>
        <v>2259.3</v>
      </c>
      <c r="Q204" s="115">
        <f aca="true" t="shared" si="67" ref="Q204:Q263">H204+L204</f>
        <v>1701.5</v>
      </c>
      <c r="R204" s="115">
        <f aca="true" t="shared" si="68" ref="R204:R263">Q204-P204</f>
        <v>-557.8000000000002</v>
      </c>
      <c r="S204" s="126">
        <f aca="true" t="shared" si="69" ref="S204:S263">Q204/P204*100</f>
        <v>75.31093701588986</v>
      </c>
    </row>
    <row r="205" spans="3:19" s="38" customFormat="1" ht="52.5" customHeight="1">
      <c r="C205" s="24" t="s">
        <v>11</v>
      </c>
      <c r="D205" s="24"/>
      <c r="E205" s="24"/>
      <c r="F205" s="25" t="s">
        <v>614</v>
      </c>
      <c r="G205" s="105"/>
      <c r="H205" s="105"/>
      <c r="I205" s="107"/>
      <c r="J205" s="105"/>
      <c r="K205" s="105"/>
      <c r="L205" s="105"/>
      <c r="M205" s="105"/>
      <c r="N205" s="88"/>
      <c r="O205" s="127"/>
      <c r="P205" s="105"/>
      <c r="Q205" s="115"/>
      <c r="R205" s="115"/>
      <c r="S205" s="126"/>
    </row>
    <row r="206" spans="3:19" s="6" customFormat="1" ht="69.75" customHeight="1">
      <c r="C206" s="24" t="s">
        <v>12</v>
      </c>
      <c r="D206" s="24"/>
      <c r="E206" s="24"/>
      <c r="F206" s="25" t="s">
        <v>615</v>
      </c>
      <c r="G206" s="104"/>
      <c r="H206" s="104"/>
      <c r="I206" s="107"/>
      <c r="J206" s="104"/>
      <c r="K206" s="104"/>
      <c r="L206" s="104"/>
      <c r="M206" s="104"/>
      <c r="N206" s="86"/>
      <c r="O206" s="127"/>
      <c r="P206" s="105"/>
      <c r="Q206" s="115"/>
      <c r="R206" s="115"/>
      <c r="S206" s="126"/>
    </row>
    <row r="207" spans="3:19" s="6" customFormat="1" ht="31.5" customHeight="1">
      <c r="C207" s="24"/>
      <c r="D207" s="24"/>
      <c r="E207" s="24"/>
      <c r="F207" s="36" t="s">
        <v>331</v>
      </c>
      <c r="G207" s="105">
        <f>G208</f>
        <v>1310.4</v>
      </c>
      <c r="H207" s="105">
        <f>H208</f>
        <v>1028.5</v>
      </c>
      <c r="I207" s="107">
        <f t="shared" si="65"/>
        <v>78.48748473748473</v>
      </c>
      <c r="J207" s="105">
        <f aca="true" t="shared" si="70" ref="J207:J215">K207+N207</f>
        <v>0</v>
      </c>
      <c r="K207" s="105">
        <f>K208</f>
        <v>0</v>
      </c>
      <c r="L207" s="105">
        <f>L208</f>
        <v>0</v>
      </c>
      <c r="M207" s="105">
        <f>M208</f>
        <v>0</v>
      </c>
      <c r="N207" s="88">
        <f>N208</f>
        <v>0</v>
      </c>
      <c r="O207" s="127"/>
      <c r="P207" s="105">
        <f t="shared" si="66"/>
        <v>1310.4</v>
      </c>
      <c r="Q207" s="115">
        <f t="shared" si="67"/>
        <v>1028.5</v>
      </c>
      <c r="R207" s="115">
        <f t="shared" si="68"/>
        <v>-281.9000000000001</v>
      </c>
      <c r="S207" s="126">
        <f t="shared" si="69"/>
        <v>78.48748473748473</v>
      </c>
    </row>
    <row r="208" spans="1:19" s="6" customFormat="1" ht="64.5" customHeight="1">
      <c r="A208" s="6">
        <v>7</v>
      </c>
      <c r="B208" s="6">
        <v>47</v>
      </c>
      <c r="C208" s="26" t="s">
        <v>145</v>
      </c>
      <c r="D208" s="26" t="s">
        <v>51</v>
      </c>
      <c r="E208" s="26" t="s">
        <v>47</v>
      </c>
      <c r="F208" s="27" t="s">
        <v>153</v>
      </c>
      <c r="G208" s="104">
        <f>G209</f>
        <v>1310.4</v>
      </c>
      <c r="H208" s="104">
        <f aca="true" t="shared" si="71" ref="H208:N208">H209</f>
        <v>1028.5</v>
      </c>
      <c r="I208" s="107">
        <f t="shared" si="65"/>
        <v>78.48748473748473</v>
      </c>
      <c r="J208" s="104">
        <f t="shared" si="70"/>
        <v>0</v>
      </c>
      <c r="K208" s="104">
        <f t="shared" si="71"/>
        <v>0</v>
      </c>
      <c r="L208" s="104">
        <f t="shared" si="71"/>
        <v>0</v>
      </c>
      <c r="M208" s="104">
        <f t="shared" si="71"/>
        <v>0</v>
      </c>
      <c r="N208" s="86">
        <f t="shared" si="71"/>
        <v>0</v>
      </c>
      <c r="O208" s="127"/>
      <c r="P208" s="105">
        <f t="shared" si="66"/>
        <v>1310.4</v>
      </c>
      <c r="Q208" s="115">
        <f t="shared" si="67"/>
        <v>1028.5</v>
      </c>
      <c r="R208" s="115">
        <f t="shared" si="68"/>
        <v>-281.9000000000001</v>
      </c>
      <c r="S208" s="126">
        <f t="shared" si="69"/>
        <v>78.48748473748473</v>
      </c>
    </row>
    <row r="209" spans="3:19" s="30" customFormat="1" ht="40.5" customHeight="1">
      <c r="C209" s="26"/>
      <c r="D209" s="26"/>
      <c r="E209" s="26"/>
      <c r="F209" s="27" t="s">
        <v>158</v>
      </c>
      <c r="G209" s="104">
        <v>1310.4</v>
      </c>
      <c r="H209" s="106">
        <v>1028.5</v>
      </c>
      <c r="I209" s="107">
        <f t="shared" si="65"/>
        <v>78.48748473748473</v>
      </c>
      <c r="J209" s="104">
        <f t="shared" si="70"/>
        <v>0</v>
      </c>
      <c r="K209" s="106"/>
      <c r="L209" s="106"/>
      <c r="M209" s="106"/>
      <c r="N209" s="90"/>
      <c r="O209" s="127"/>
      <c r="P209" s="105">
        <f t="shared" si="66"/>
        <v>1310.4</v>
      </c>
      <c r="Q209" s="115">
        <f t="shared" si="67"/>
        <v>1028.5</v>
      </c>
      <c r="R209" s="115">
        <f t="shared" si="68"/>
        <v>-281.9000000000001</v>
      </c>
      <c r="S209" s="126">
        <f t="shared" si="69"/>
        <v>78.48748473748473</v>
      </c>
    </row>
    <row r="210" spans="3:19" s="38" customFormat="1" ht="40.5" customHeight="1">
      <c r="C210" s="24"/>
      <c r="D210" s="24"/>
      <c r="E210" s="24"/>
      <c r="F210" s="25" t="s">
        <v>292</v>
      </c>
      <c r="G210" s="105">
        <f>G211</f>
        <v>5543.9</v>
      </c>
      <c r="H210" s="105">
        <f aca="true" t="shared" si="72" ref="H210:N211">H211</f>
        <v>3937.3</v>
      </c>
      <c r="I210" s="107">
        <f t="shared" si="65"/>
        <v>71.02040080088025</v>
      </c>
      <c r="J210" s="105">
        <f>J211</f>
        <v>605.8</v>
      </c>
      <c r="K210" s="105">
        <f>K211</f>
        <v>299.97</v>
      </c>
      <c r="L210" s="105">
        <f>L211</f>
        <v>493.1</v>
      </c>
      <c r="M210" s="105">
        <f t="shared" si="72"/>
        <v>293.5</v>
      </c>
      <c r="N210" s="88">
        <f t="shared" si="72"/>
        <v>294</v>
      </c>
      <c r="O210" s="127">
        <f t="shared" si="60"/>
        <v>81.39650049521295</v>
      </c>
      <c r="P210" s="105">
        <f t="shared" si="66"/>
        <v>6149.7</v>
      </c>
      <c r="Q210" s="115">
        <f t="shared" si="67"/>
        <v>4430.400000000001</v>
      </c>
      <c r="R210" s="115">
        <f t="shared" si="68"/>
        <v>-1719.2999999999993</v>
      </c>
      <c r="S210" s="126">
        <f t="shared" si="69"/>
        <v>72.04253866042248</v>
      </c>
    </row>
    <row r="211" spans="1:19" s="6" customFormat="1" ht="63.75" customHeight="1">
      <c r="A211" s="6">
        <v>3</v>
      </c>
      <c r="B211" s="6">
        <v>50</v>
      </c>
      <c r="C211" s="26" t="s">
        <v>281</v>
      </c>
      <c r="D211" s="26" t="s">
        <v>342</v>
      </c>
      <c r="E211" s="26" t="s">
        <v>57</v>
      </c>
      <c r="F211" s="34" t="s">
        <v>282</v>
      </c>
      <c r="G211" s="104">
        <f>G212</f>
        <v>5543.9</v>
      </c>
      <c r="H211" s="104">
        <f t="shared" si="72"/>
        <v>3937.3</v>
      </c>
      <c r="I211" s="107">
        <f t="shared" si="65"/>
        <v>71.02040080088025</v>
      </c>
      <c r="J211" s="104">
        <f t="shared" si="72"/>
        <v>605.8</v>
      </c>
      <c r="K211" s="104">
        <f t="shared" si="72"/>
        <v>299.97</v>
      </c>
      <c r="L211" s="104">
        <f t="shared" si="72"/>
        <v>493.1</v>
      </c>
      <c r="M211" s="104">
        <f t="shared" si="72"/>
        <v>293.5</v>
      </c>
      <c r="N211" s="12">
        <f t="shared" si="72"/>
        <v>294</v>
      </c>
      <c r="O211" s="127">
        <f t="shared" si="60"/>
        <v>81.39650049521295</v>
      </c>
      <c r="P211" s="105">
        <f t="shared" si="66"/>
        <v>6149.7</v>
      </c>
      <c r="Q211" s="115">
        <f t="shared" si="67"/>
        <v>4430.400000000001</v>
      </c>
      <c r="R211" s="115">
        <f t="shared" si="68"/>
        <v>-1719.2999999999993</v>
      </c>
      <c r="S211" s="126">
        <f t="shared" si="69"/>
        <v>72.04253866042248</v>
      </c>
    </row>
    <row r="212" spans="3:19" s="30" customFormat="1" ht="34.5" customHeight="1">
      <c r="C212" s="26"/>
      <c r="D212" s="26"/>
      <c r="E212" s="26"/>
      <c r="F212" s="34" t="s">
        <v>492</v>
      </c>
      <c r="G212" s="104">
        <v>5543.9</v>
      </c>
      <c r="H212" s="104">
        <v>3937.3</v>
      </c>
      <c r="I212" s="107">
        <f t="shared" si="65"/>
        <v>71.02040080088025</v>
      </c>
      <c r="J212" s="104">
        <f>300+294+11.8</f>
        <v>605.8</v>
      </c>
      <c r="K212" s="104">
        <v>299.97</v>
      </c>
      <c r="L212" s="104">
        <f>187.8+11.8+293.5</f>
        <v>493.1</v>
      </c>
      <c r="M212" s="104">
        <v>293.5</v>
      </c>
      <c r="N212" s="86">
        <v>294</v>
      </c>
      <c r="O212" s="127">
        <f t="shared" si="60"/>
        <v>81.39650049521295</v>
      </c>
      <c r="P212" s="105">
        <f t="shared" si="66"/>
        <v>6149.7</v>
      </c>
      <c r="Q212" s="115">
        <f t="shared" si="67"/>
        <v>4430.400000000001</v>
      </c>
      <c r="R212" s="115">
        <f t="shared" si="68"/>
        <v>-1719.2999999999993</v>
      </c>
      <c r="S212" s="126">
        <f t="shared" si="69"/>
        <v>72.04253866042248</v>
      </c>
    </row>
    <row r="213" spans="3:19" s="30" customFormat="1" ht="40.5" customHeight="1">
      <c r="C213" s="24"/>
      <c r="D213" s="24"/>
      <c r="E213" s="24"/>
      <c r="F213" s="25" t="s">
        <v>296</v>
      </c>
      <c r="G213" s="105">
        <f>G214</f>
        <v>120</v>
      </c>
      <c r="H213" s="105">
        <f>H214</f>
        <v>15.5</v>
      </c>
      <c r="I213" s="107">
        <f t="shared" si="65"/>
        <v>12.916666666666668</v>
      </c>
      <c r="J213" s="105">
        <f>J214</f>
        <v>0</v>
      </c>
      <c r="K213" s="105">
        <f>K214</f>
        <v>0</v>
      </c>
      <c r="L213" s="105">
        <f>L214</f>
        <v>0</v>
      </c>
      <c r="M213" s="105">
        <f>M214</f>
        <v>0</v>
      </c>
      <c r="N213" s="88" t="e">
        <f>#REF!</f>
        <v>#REF!</v>
      </c>
      <c r="O213" s="127"/>
      <c r="P213" s="105">
        <f t="shared" si="66"/>
        <v>120</v>
      </c>
      <c r="Q213" s="115">
        <f t="shared" si="67"/>
        <v>15.5</v>
      </c>
      <c r="R213" s="115">
        <f t="shared" si="68"/>
        <v>-104.5</v>
      </c>
      <c r="S213" s="126">
        <f t="shared" si="69"/>
        <v>12.916666666666668</v>
      </c>
    </row>
    <row r="214" spans="3:19" s="30" customFormat="1" ht="42.75" customHeight="1">
      <c r="C214" s="26" t="s">
        <v>272</v>
      </c>
      <c r="D214" s="26" t="s">
        <v>271</v>
      </c>
      <c r="E214" s="26" t="s">
        <v>61</v>
      </c>
      <c r="F214" s="27" t="s">
        <v>269</v>
      </c>
      <c r="G214" s="104">
        <f>G215</f>
        <v>120</v>
      </c>
      <c r="H214" s="104">
        <f>H215</f>
        <v>15.5</v>
      </c>
      <c r="I214" s="107">
        <f t="shared" si="65"/>
        <v>12.916666666666668</v>
      </c>
      <c r="J214" s="104">
        <f t="shared" si="70"/>
        <v>0</v>
      </c>
      <c r="K214" s="104">
        <f>K215</f>
        <v>0</v>
      </c>
      <c r="L214" s="104">
        <f>L215</f>
        <v>0</v>
      </c>
      <c r="M214" s="104">
        <f>M215</f>
        <v>0</v>
      </c>
      <c r="N214" s="86">
        <f>N215</f>
        <v>0</v>
      </c>
      <c r="O214" s="127"/>
      <c r="P214" s="105">
        <f t="shared" si="66"/>
        <v>120</v>
      </c>
      <c r="Q214" s="115">
        <f t="shared" si="67"/>
        <v>15.5</v>
      </c>
      <c r="R214" s="115">
        <f t="shared" si="68"/>
        <v>-104.5</v>
      </c>
      <c r="S214" s="126">
        <f t="shared" si="69"/>
        <v>12.916666666666668</v>
      </c>
    </row>
    <row r="215" spans="3:19" s="30" customFormat="1" ht="42" customHeight="1">
      <c r="C215" s="26"/>
      <c r="D215" s="26"/>
      <c r="E215" s="26"/>
      <c r="F215" s="27" t="s">
        <v>270</v>
      </c>
      <c r="G215" s="104">
        <v>120</v>
      </c>
      <c r="H215" s="104">
        <v>15.5</v>
      </c>
      <c r="I215" s="107">
        <f t="shared" si="65"/>
        <v>12.916666666666668</v>
      </c>
      <c r="J215" s="104">
        <f t="shared" si="70"/>
        <v>0</v>
      </c>
      <c r="K215" s="112"/>
      <c r="L215" s="104"/>
      <c r="M215" s="104"/>
      <c r="N215" s="86"/>
      <c r="O215" s="127"/>
      <c r="P215" s="105">
        <f t="shared" si="66"/>
        <v>120</v>
      </c>
      <c r="Q215" s="115">
        <f t="shared" si="67"/>
        <v>15.5</v>
      </c>
      <c r="R215" s="115">
        <f t="shared" si="68"/>
        <v>-104.5</v>
      </c>
      <c r="S215" s="126">
        <f t="shared" si="69"/>
        <v>12.916666666666668</v>
      </c>
    </row>
    <row r="216" spans="3:19" s="38" customFormat="1" ht="39" customHeight="1">
      <c r="C216" s="24"/>
      <c r="D216" s="24"/>
      <c r="E216" s="24"/>
      <c r="F216" s="36" t="s">
        <v>274</v>
      </c>
      <c r="G216" s="105">
        <f>G218+G217+G219+G222+G223</f>
        <v>4203.7</v>
      </c>
      <c r="H216" s="105">
        <f>H218+H217+H219+H222+H223</f>
        <v>3011.3</v>
      </c>
      <c r="I216" s="107">
        <f t="shared" si="65"/>
        <v>71.63451245331494</v>
      </c>
      <c r="J216" s="105">
        <f>J218+J217+J219+J222+J223</f>
        <v>137.60000000000002</v>
      </c>
      <c r="K216" s="105">
        <f>K218+K217+K219+K222+K223</f>
        <v>1.42</v>
      </c>
      <c r="L216" s="105">
        <f>L218+L217+L219+L222+L223</f>
        <v>135.89999999999998</v>
      </c>
      <c r="M216" s="105">
        <f>M218+M217+M219+M222+M223</f>
        <v>94.6</v>
      </c>
      <c r="N216" s="88" t="e">
        <f>N218+N217+N219+#REF!</f>
        <v>#REF!</v>
      </c>
      <c r="O216" s="127">
        <f t="shared" si="60"/>
        <v>98.7645348837209</v>
      </c>
      <c r="P216" s="105">
        <f t="shared" si="66"/>
        <v>4341.3</v>
      </c>
      <c r="Q216" s="115">
        <f t="shared" si="67"/>
        <v>3147.2000000000003</v>
      </c>
      <c r="R216" s="115">
        <f t="shared" si="68"/>
        <v>-1194.1</v>
      </c>
      <c r="S216" s="126">
        <f t="shared" si="69"/>
        <v>72.4944141155875</v>
      </c>
    </row>
    <row r="217" spans="1:19" s="6" customFormat="1" ht="24" customHeight="1">
      <c r="A217" s="6">
        <v>1</v>
      </c>
      <c r="B217" s="6">
        <v>48</v>
      </c>
      <c r="C217" s="26" t="s">
        <v>276</v>
      </c>
      <c r="D217" s="26" t="s">
        <v>277</v>
      </c>
      <c r="E217" s="26" t="s">
        <v>92</v>
      </c>
      <c r="F217" s="34" t="s">
        <v>275</v>
      </c>
      <c r="G217" s="104">
        <v>891.4</v>
      </c>
      <c r="H217" s="104">
        <v>623.3</v>
      </c>
      <c r="I217" s="107">
        <f t="shared" si="65"/>
        <v>69.92371550370203</v>
      </c>
      <c r="J217" s="104">
        <f>19.6+30</f>
        <v>49.6</v>
      </c>
      <c r="K217" s="104"/>
      <c r="L217" s="104">
        <f>19.6+30</f>
        <v>49.6</v>
      </c>
      <c r="M217" s="104">
        <v>30</v>
      </c>
      <c r="N217" s="86">
        <v>30</v>
      </c>
      <c r="O217" s="127">
        <f t="shared" si="60"/>
        <v>100</v>
      </c>
      <c r="P217" s="105">
        <f t="shared" si="66"/>
        <v>941</v>
      </c>
      <c r="Q217" s="115">
        <f t="shared" si="67"/>
        <v>672.9</v>
      </c>
      <c r="R217" s="115">
        <f t="shared" si="68"/>
        <v>-268.1</v>
      </c>
      <c r="S217" s="126">
        <f t="shared" si="69"/>
        <v>71.50903294367694</v>
      </c>
    </row>
    <row r="218" spans="1:19" s="6" customFormat="1" ht="29.25" customHeight="1">
      <c r="A218" s="6">
        <v>2</v>
      </c>
      <c r="B218" s="6">
        <v>49</v>
      </c>
      <c r="C218" s="26" t="s">
        <v>279</v>
      </c>
      <c r="D218" s="26" t="s">
        <v>280</v>
      </c>
      <c r="E218" s="26" t="s">
        <v>92</v>
      </c>
      <c r="F218" s="27" t="s">
        <v>278</v>
      </c>
      <c r="G218" s="104">
        <v>555.4</v>
      </c>
      <c r="H218" s="104">
        <v>403.7</v>
      </c>
      <c r="I218" s="107">
        <f t="shared" si="65"/>
        <v>72.68635217861001</v>
      </c>
      <c r="J218" s="104">
        <f>1.2</f>
        <v>1.2</v>
      </c>
      <c r="K218" s="104"/>
      <c r="L218" s="104">
        <v>0.5</v>
      </c>
      <c r="M218" s="104"/>
      <c r="N218" s="86"/>
      <c r="O218" s="127">
        <f t="shared" si="60"/>
        <v>41.66666666666667</v>
      </c>
      <c r="P218" s="105">
        <f t="shared" si="66"/>
        <v>556.6</v>
      </c>
      <c r="Q218" s="115">
        <f t="shared" si="67"/>
        <v>404.2</v>
      </c>
      <c r="R218" s="115">
        <f t="shared" si="68"/>
        <v>-152.40000000000003</v>
      </c>
      <c r="S218" s="126">
        <f t="shared" si="69"/>
        <v>72.6194753862738</v>
      </c>
    </row>
    <row r="219" spans="3:19" s="6" customFormat="1" ht="60.75" customHeight="1">
      <c r="C219" s="26" t="s">
        <v>273</v>
      </c>
      <c r="D219" s="26" t="s">
        <v>91</v>
      </c>
      <c r="E219" s="26" t="s">
        <v>93</v>
      </c>
      <c r="F219" s="27" t="s">
        <v>555</v>
      </c>
      <c r="G219" s="104">
        <f aca="true" t="shared" si="73" ref="G219:N219">SUM(G220:G221)</f>
        <v>962.9</v>
      </c>
      <c r="H219" s="104">
        <f t="shared" si="73"/>
        <v>621</v>
      </c>
      <c r="I219" s="107">
        <f t="shared" si="65"/>
        <v>64.49267836743172</v>
      </c>
      <c r="J219" s="104">
        <f>SUM(J220:J221)</f>
        <v>65</v>
      </c>
      <c r="K219" s="104">
        <f t="shared" si="73"/>
        <v>0</v>
      </c>
      <c r="L219" s="104">
        <f t="shared" si="73"/>
        <v>64.6</v>
      </c>
      <c r="M219" s="104">
        <f t="shared" si="73"/>
        <v>64.6</v>
      </c>
      <c r="N219" s="86">
        <f t="shared" si="73"/>
        <v>15</v>
      </c>
      <c r="O219" s="127">
        <f t="shared" si="60"/>
        <v>99.38461538461537</v>
      </c>
      <c r="P219" s="105">
        <f t="shared" si="66"/>
        <v>1027.9</v>
      </c>
      <c r="Q219" s="115">
        <f t="shared" si="67"/>
        <v>685.6</v>
      </c>
      <c r="R219" s="115">
        <f t="shared" si="68"/>
        <v>-342.30000000000007</v>
      </c>
      <c r="S219" s="126">
        <f t="shared" si="69"/>
        <v>66.69909524272789</v>
      </c>
    </row>
    <row r="220" spans="3:19" s="6" customFormat="1" ht="42" customHeight="1">
      <c r="C220" s="26"/>
      <c r="D220" s="26"/>
      <c r="E220" s="26"/>
      <c r="F220" s="27" t="s">
        <v>556</v>
      </c>
      <c r="G220" s="104">
        <v>962.9</v>
      </c>
      <c r="H220" s="104">
        <v>621</v>
      </c>
      <c r="I220" s="107">
        <f t="shared" si="65"/>
        <v>64.49267836743172</v>
      </c>
      <c r="J220" s="104">
        <v>20</v>
      </c>
      <c r="K220" s="104"/>
      <c r="L220" s="104">
        <v>19.6</v>
      </c>
      <c r="M220" s="104">
        <v>19.6</v>
      </c>
      <c r="N220" s="86"/>
      <c r="O220" s="127">
        <f t="shared" si="60"/>
        <v>98.00000000000001</v>
      </c>
      <c r="P220" s="105">
        <f t="shared" si="66"/>
        <v>982.9</v>
      </c>
      <c r="Q220" s="115">
        <f t="shared" si="67"/>
        <v>640.6</v>
      </c>
      <c r="R220" s="115">
        <f t="shared" si="68"/>
        <v>-342.29999999999995</v>
      </c>
      <c r="S220" s="126">
        <f t="shared" si="69"/>
        <v>65.17448367077017</v>
      </c>
    </row>
    <row r="221" spans="3:19" s="6" customFormat="1" ht="42" customHeight="1">
      <c r="C221" s="26"/>
      <c r="D221" s="26"/>
      <c r="E221" s="26"/>
      <c r="F221" s="27" t="s">
        <v>549</v>
      </c>
      <c r="G221" s="104"/>
      <c r="H221" s="104"/>
      <c r="I221" s="128" t="e">
        <f t="shared" si="65"/>
        <v>#DIV/0!</v>
      </c>
      <c r="J221" s="104">
        <v>45</v>
      </c>
      <c r="K221" s="104"/>
      <c r="L221" s="104">
        <v>45</v>
      </c>
      <c r="M221" s="104">
        <v>45</v>
      </c>
      <c r="N221" s="86">
        <v>15</v>
      </c>
      <c r="O221" s="127">
        <f t="shared" si="60"/>
        <v>100</v>
      </c>
      <c r="P221" s="105">
        <f t="shared" si="66"/>
        <v>45</v>
      </c>
      <c r="Q221" s="115">
        <f t="shared" si="67"/>
        <v>45</v>
      </c>
      <c r="R221" s="115">
        <f t="shared" si="68"/>
        <v>0</v>
      </c>
      <c r="S221" s="126">
        <f t="shared" si="69"/>
        <v>100</v>
      </c>
    </row>
    <row r="222" spans="3:19" s="30" customFormat="1" ht="50.25" customHeight="1">
      <c r="C222" s="4" t="s">
        <v>435</v>
      </c>
      <c r="D222" s="4" t="s">
        <v>436</v>
      </c>
      <c r="E222" s="4" t="s">
        <v>94</v>
      </c>
      <c r="F222" s="34" t="s">
        <v>437</v>
      </c>
      <c r="G222" s="104">
        <v>696.5</v>
      </c>
      <c r="H222" s="104">
        <v>535.1</v>
      </c>
      <c r="I222" s="107">
        <f t="shared" si="65"/>
        <v>76.82699210337401</v>
      </c>
      <c r="J222" s="104">
        <f>K222+N222</f>
        <v>0</v>
      </c>
      <c r="K222" s="104"/>
      <c r="L222" s="104"/>
      <c r="M222" s="104"/>
      <c r="N222" s="86"/>
      <c r="O222" s="127"/>
      <c r="P222" s="105">
        <f t="shared" si="66"/>
        <v>696.5</v>
      </c>
      <c r="Q222" s="115">
        <f t="shared" si="67"/>
        <v>535.1</v>
      </c>
      <c r="R222" s="115">
        <f t="shared" si="68"/>
        <v>-161.39999999999998</v>
      </c>
      <c r="S222" s="126">
        <f t="shared" si="69"/>
        <v>76.82699210337401</v>
      </c>
    </row>
    <row r="223" spans="3:19" s="30" customFormat="1" ht="32.25" customHeight="1">
      <c r="C223" s="4" t="s">
        <v>439</v>
      </c>
      <c r="D223" s="4" t="s">
        <v>440</v>
      </c>
      <c r="E223" s="4" t="s">
        <v>94</v>
      </c>
      <c r="F223" s="34" t="s">
        <v>438</v>
      </c>
      <c r="G223" s="104">
        <f>SUM(G224:G225)</f>
        <v>1097.5</v>
      </c>
      <c r="H223" s="104">
        <f aca="true" t="shared" si="74" ref="H223:N223">SUM(H224:H225)</f>
        <v>828.2</v>
      </c>
      <c r="I223" s="107">
        <f t="shared" si="65"/>
        <v>75.4624145785877</v>
      </c>
      <c r="J223" s="104">
        <f t="shared" si="74"/>
        <v>21.8</v>
      </c>
      <c r="K223" s="104">
        <f t="shared" si="74"/>
        <v>1.42</v>
      </c>
      <c r="L223" s="104">
        <f t="shared" si="74"/>
        <v>21.2</v>
      </c>
      <c r="M223" s="104">
        <f t="shared" si="74"/>
        <v>0</v>
      </c>
      <c r="N223" s="12">
        <f t="shared" si="74"/>
        <v>0</v>
      </c>
      <c r="O223" s="127">
        <f t="shared" si="60"/>
        <v>97.24770642201834</v>
      </c>
      <c r="P223" s="105">
        <f t="shared" si="66"/>
        <v>1119.3</v>
      </c>
      <c r="Q223" s="115">
        <f t="shared" si="67"/>
        <v>849.4000000000001</v>
      </c>
      <c r="R223" s="115">
        <f t="shared" si="68"/>
        <v>-269.89999999999986</v>
      </c>
      <c r="S223" s="126">
        <f t="shared" si="69"/>
        <v>75.88671491110517</v>
      </c>
    </row>
    <row r="224" spans="3:19" s="30" customFormat="1" ht="65.25" customHeight="1">
      <c r="C224" s="4"/>
      <c r="D224" s="4"/>
      <c r="E224" s="4"/>
      <c r="F224" s="27" t="s">
        <v>283</v>
      </c>
      <c r="G224" s="104">
        <v>1060.5</v>
      </c>
      <c r="H224" s="104">
        <v>804.6</v>
      </c>
      <c r="I224" s="107">
        <f t="shared" si="65"/>
        <v>75.86987270155588</v>
      </c>
      <c r="J224" s="104">
        <v>21.8</v>
      </c>
      <c r="K224" s="108">
        <v>1.42</v>
      </c>
      <c r="L224" s="104">
        <v>21.2</v>
      </c>
      <c r="M224" s="108"/>
      <c r="N224" s="86"/>
      <c r="O224" s="127">
        <f t="shared" si="60"/>
        <v>97.24770642201834</v>
      </c>
      <c r="P224" s="105">
        <f t="shared" si="66"/>
        <v>1082.3</v>
      </c>
      <c r="Q224" s="115">
        <f t="shared" si="67"/>
        <v>825.8000000000001</v>
      </c>
      <c r="R224" s="115">
        <f t="shared" si="68"/>
        <v>-256.4999999999999</v>
      </c>
      <c r="S224" s="126">
        <f t="shared" si="69"/>
        <v>76.30047121870092</v>
      </c>
    </row>
    <row r="225" spans="3:19" s="30" customFormat="1" ht="45" customHeight="1">
      <c r="C225" s="4"/>
      <c r="D225" s="4"/>
      <c r="E225" s="4"/>
      <c r="F225" s="27" t="s">
        <v>549</v>
      </c>
      <c r="G225" s="104">
        <v>37</v>
      </c>
      <c r="H225" s="104">
        <v>23.6</v>
      </c>
      <c r="I225" s="107">
        <f t="shared" si="65"/>
        <v>63.78378378378379</v>
      </c>
      <c r="J225" s="104">
        <f aca="true" t="shared" si="75" ref="J225:J233">K225+N225</f>
        <v>0</v>
      </c>
      <c r="K225" s="108"/>
      <c r="L225" s="108"/>
      <c r="M225" s="108"/>
      <c r="N225" s="86"/>
      <c r="O225" s="127"/>
      <c r="P225" s="105">
        <f t="shared" si="66"/>
        <v>37</v>
      </c>
      <c r="Q225" s="115">
        <f t="shared" si="67"/>
        <v>23.6</v>
      </c>
      <c r="R225" s="115">
        <f t="shared" si="68"/>
        <v>-13.399999999999999</v>
      </c>
      <c r="S225" s="126">
        <f t="shared" si="69"/>
        <v>63.78378378378379</v>
      </c>
    </row>
    <row r="226" spans="3:19" s="38" customFormat="1" ht="36.75" customHeight="1">
      <c r="C226" s="24"/>
      <c r="D226" s="24"/>
      <c r="E226" s="24"/>
      <c r="F226" s="25" t="s">
        <v>14</v>
      </c>
      <c r="G226" s="105">
        <f>G227+G231+G234+G237</f>
        <v>3664.2</v>
      </c>
      <c r="H226" s="105">
        <f>H227+H231+H234+H237</f>
        <v>2394.2000000000003</v>
      </c>
      <c r="I226" s="107">
        <f t="shared" si="65"/>
        <v>65.34031985153649</v>
      </c>
      <c r="J226" s="105">
        <f>J227+J231+J234+J237</f>
        <v>7</v>
      </c>
      <c r="K226" s="105">
        <f>K227+K231+K234+K237</f>
        <v>0</v>
      </c>
      <c r="L226" s="105">
        <f>L227+L231+L234+L237</f>
        <v>7</v>
      </c>
      <c r="M226" s="105">
        <f>M227+M231+M234+M237</f>
        <v>7</v>
      </c>
      <c r="N226" s="88" t="e">
        <f>#REF!+#REF!+#REF!</f>
        <v>#REF!</v>
      </c>
      <c r="O226" s="127">
        <f t="shared" si="60"/>
        <v>100</v>
      </c>
      <c r="P226" s="105">
        <f t="shared" si="66"/>
        <v>3671.2</v>
      </c>
      <c r="Q226" s="115">
        <f t="shared" si="67"/>
        <v>2401.2000000000003</v>
      </c>
      <c r="R226" s="115">
        <f t="shared" si="68"/>
        <v>-1269.9999999999995</v>
      </c>
      <c r="S226" s="126">
        <f t="shared" si="69"/>
        <v>65.40640662453696</v>
      </c>
    </row>
    <row r="227" spans="3:19" s="30" customFormat="1" ht="42" customHeight="1">
      <c r="C227" s="26" t="s">
        <v>285</v>
      </c>
      <c r="D227" s="26" t="s">
        <v>95</v>
      </c>
      <c r="E227" s="26" t="s">
        <v>96</v>
      </c>
      <c r="F227" s="27" t="s">
        <v>284</v>
      </c>
      <c r="G227" s="104">
        <f>SUM(G228:G230)</f>
        <v>303.9</v>
      </c>
      <c r="H227" s="104">
        <f>SUM(H228:H230)</f>
        <v>155.8</v>
      </c>
      <c r="I227" s="107">
        <f t="shared" si="65"/>
        <v>51.26686410003292</v>
      </c>
      <c r="J227" s="104">
        <f>K227+N227</f>
        <v>7</v>
      </c>
      <c r="K227" s="104">
        <f>SUM(K228:K230)</f>
        <v>0</v>
      </c>
      <c r="L227" s="104">
        <f>SUM(L228:L230)</f>
        <v>7</v>
      </c>
      <c r="M227" s="104">
        <f>SUM(M228:M230)</f>
        <v>7</v>
      </c>
      <c r="N227" s="86">
        <f>SUM(N228:N229)</f>
        <v>7</v>
      </c>
      <c r="O227" s="127">
        <f t="shared" si="60"/>
        <v>100</v>
      </c>
      <c r="P227" s="105">
        <f t="shared" si="66"/>
        <v>310.9</v>
      </c>
      <c r="Q227" s="115">
        <f t="shared" si="67"/>
        <v>162.8</v>
      </c>
      <c r="R227" s="115">
        <f t="shared" si="68"/>
        <v>-148.09999999999997</v>
      </c>
      <c r="S227" s="126">
        <f t="shared" si="69"/>
        <v>52.364104213573505</v>
      </c>
    </row>
    <row r="228" spans="3:19" s="30" customFormat="1" ht="60" customHeight="1">
      <c r="C228" s="26"/>
      <c r="D228" s="26"/>
      <c r="E228" s="26"/>
      <c r="F228" s="27" t="s">
        <v>8</v>
      </c>
      <c r="G228" s="104">
        <v>282.9</v>
      </c>
      <c r="H228" s="104">
        <v>140.8</v>
      </c>
      <c r="I228" s="107">
        <f t="shared" si="65"/>
        <v>49.770236832803114</v>
      </c>
      <c r="J228" s="104">
        <f t="shared" si="75"/>
        <v>0</v>
      </c>
      <c r="K228" s="112"/>
      <c r="L228" s="104"/>
      <c r="M228" s="104"/>
      <c r="N228" s="86"/>
      <c r="O228" s="127"/>
      <c r="P228" s="105">
        <f t="shared" si="66"/>
        <v>282.9</v>
      </c>
      <c r="Q228" s="115">
        <f t="shared" si="67"/>
        <v>140.8</v>
      </c>
      <c r="R228" s="115">
        <f t="shared" si="68"/>
        <v>-142.09999999999997</v>
      </c>
      <c r="S228" s="126">
        <f t="shared" si="69"/>
        <v>49.770236832803114</v>
      </c>
    </row>
    <row r="229" spans="3:19" s="30" customFormat="1" ht="47.25" customHeight="1">
      <c r="C229" s="26"/>
      <c r="D229" s="26"/>
      <c r="E229" s="26"/>
      <c r="F229" s="27" t="s">
        <v>505</v>
      </c>
      <c r="G229" s="104">
        <v>21</v>
      </c>
      <c r="H229" s="104">
        <v>15</v>
      </c>
      <c r="I229" s="107">
        <f t="shared" si="65"/>
        <v>71.42857142857143</v>
      </c>
      <c r="J229" s="104">
        <v>7</v>
      </c>
      <c r="K229" s="112"/>
      <c r="L229" s="104">
        <v>7</v>
      </c>
      <c r="M229" s="104">
        <v>7</v>
      </c>
      <c r="N229" s="86">
        <v>7</v>
      </c>
      <c r="O229" s="127">
        <f t="shared" si="60"/>
        <v>100</v>
      </c>
      <c r="P229" s="105">
        <f t="shared" si="66"/>
        <v>28</v>
      </c>
      <c r="Q229" s="115">
        <f t="shared" si="67"/>
        <v>22</v>
      </c>
      <c r="R229" s="115">
        <f t="shared" si="68"/>
        <v>-6</v>
      </c>
      <c r="S229" s="126">
        <f t="shared" si="69"/>
        <v>78.57142857142857</v>
      </c>
    </row>
    <row r="230" spans="3:19" s="30" customFormat="1" ht="42.75" customHeight="1" hidden="1">
      <c r="C230" s="26"/>
      <c r="D230" s="26"/>
      <c r="E230" s="26"/>
      <c r="F230" s="147" t="s">
        <v>7</v>
      </c>
      <c r="G230" s="104"/>
      <c r="H230" s="104"/>
      <c r="I230" s="107" t="e">
        <f t="shared" si="65"/>
        <v>#DIV/0!</v>
      </c>
      <c r="J230" s="104">
        <f t="shared" si="75"/>
        <v>0</v>
      </c>
      <c r="K230" s="112"/>
      <c r="L230" s="104"/>
      <c r="M230" s="104"/>
      <c r="N230" s="86"/>
      <c r="O230" s="127" t="e">
        <f t="shared" si="60"/>
        <v>#DIV/0!</v>
      </c>
      <c r="P230" s="105">
        <f t="shared" si="66"/>
        <v>0</v>
      </c>
      <c r="Q230" s="115">
        <f t="shared" si="67"/>
        <v>0</v>
      </c>
      <c r="R230" s="115">
        <f t="shared" si="68"/>
        <v>0</v>
      </c>
      <c r="S230" s="126" t="e">
        <f t="shared" si="69"/>
        <v>#DIV/0!</v>
      </c>
    </row>
    <row r="231" spans="3:19" s="30" customFormat="1" ht="49.5" customHeight="1">
      <c r="C231" s="26" t="s">
        <v>287</v>
      </c>
      <c r="D231" s="26" t="s">
        <v>97</v>
      </c>
      <c r="E231" s="26" t="s">
        <v>96</v>
      </c>
      <c r="F231" s="27" t="s">
        <v>286</v>
      </c>
      <c r="G231" s="104">
        <f>SUM(G232:G233)</f>
        <v>209.5</v>
      </c>
      <c r="H231" s="104">
        <f>SUM(H232:H233)</f>
        <v>133.8</v>
      </c>
      <c r="I231" s="107">
        <f t="shared" si="65"/>
        <v>63.86634844868736</v>
      </c>
      <c r="J231" s="104">
        <f t="shared" si="75"/>
        <v>0</v>
      </c>
      <c r="K231" s="104">
        <f>SUM(K232:K233)</f>
        <v>0</v>
      </c>
      <c r="L231" s="104">
        <f>SUM(L232:L233)</f>
        <v>0</v>
      </c>
      <c r="M231" s="104">
        <f>SUM(M232:M233)</f>
        <v>0</v>
      </c>
      <c r="N231" s="86">
        <f>SUM(N232:N233)</f>
        <v>0</v>
      </c>
      <c r="O231" s="127"/>
      <c r="P231" s="105">
        <f t="shared" si="66"/>
        <v>209.5</v>
      </c>
      <c r="Q231" s="115">
        <f t="shared" si="67"/>
        <v>133.8</v>
      </c>
      <c r="R231" s="115">
        <f t="shared" si="68"/>
        <v>-75.69999999999999</v>
      </c>
      <c r="S231" s="126">
        <f t="shared" si="69"/>
        <v>63.86634844868736</v>
      </c>
    </row>
    <row r="232" spans="3:19" s="30" customFormat="1" ht="69.75" customHeight="1">
      <c r="C232" s="26"/>
      <c r="D232" s="26"/>
      <c r="E232" s="26"/>
      <c r="F232" s="27" t="s">
        <v>132</v>
      </c>
      <c r="G232" s="104">
        <f>191.5</f>
        <v>191.5</v>
      </c>
      <c r="H232" s="104">
        <v>115.8</v>
      </c>
      <c r="I232" s="107">
        <f t="shared" si="65"/>
        <v>60.469973890339425</v>
      </c>
      <c r="J232" s="104">
        <f t="shared" si="75"/>
        <v>0</v>
      </c>
      <c r="K232" s="112"/>
      <c r="L232" s="104"/>
      <c r="M232" s="104"/>
      <c r="N232" s="86"/>
      <c r="O232" s="127"/>
      <c r="P232" s="105">
        <f t="shared" si="66"/>
        <v>191.5</v>
      </c>
      <c r="Q232" s="115">
        <f t="shared" si="67"/>
        <v>115.8</v>
      </c>
      <c r="R232" s="115">
        <f t="shared" si="68"/>
        <v>-75.7</v>
      </c>
      <c r="S232" s="126">
        <f t="shared" si="69"/>
        <v>60.469973890339425</v>
      </c>
    </row>
    <row r="233" spans="3:19" s="30" customFormat="1" ht="45" customHeight="1">
      <c r="C233" s="26"/>
      <c r="D233" s="26"/>
      <c r="E233" s="26"/>
      <c r="F233" s="27" t="s">
        <v>505</v>
      </c>
      <c r="G233" s="104">
        <v>18</v>
      </c>
      <c r="H233" s="104">
        <v>18</v>
      </c>
      <c r="I233" s="107">
        <f t="shared" si="65"/>
        <v>100</v>
      </c>
      <c r="J233" s="104">
        <f t="shared" si="75"/>
        <v>0</v>
      </c>
      <c r="K233" s="112"/>
      <c r="L233" s="104"/>
      <c r="M233" s="104"/>
      <c r="N233" s="86"/>
      <c r="O233" s="127"/>
      <c r="P233" s="105">
        <f t="shared" si="66"/>
        <v>18</v>
      </c>
      <c r="Q233" s="115">
        <f t="shared" si="67"/>
        <v>18</v>
      </c>
      <c r="R233" s="115">
        <f t="shared" si="68"/>
        <v>0</v>
      </c>
      <c r="S233" s="126">
        <f t="shared" si="69"/>
        <v>100</v>
      </c>
    </row>
    <row r="234" spans="3:19" s="30" customFormat="1" ht="45.75" customHeight="1">
      <c r="C234" s="26" t="s">
        <v>289</v>
      </c>
      <c r="D234" s="26" t="s">
        <v>108</v>
      </c>
      <c r="E234" s="26" t="s">
        <v>96</v>
      </c>
      <c r="F234" s="34" t="s">
        <v>288</v>
      </c>
      <c r="G234" s="104">
        <f>SUM(G235:G236)</f>
        <v>3125.2</v>
      </c>
      <c r="H234" s="104">
        <f>SUM(H235:H236)</f>
        <v>2091.3</v>
      </c>
      <c r="I234" s="107">
        <f t="shared" si="65"/>
        <v>66.91731729169335</v>
      </c>
      <c r="J234" s="104">
        <f aca="true" t="shared" si="76" ref="J234:J239">K234+N234</f>
        <v>0</v>
      </c>
      <c r="K234" s="104"/>
      <c r="L234" s="104"/>
      <c r="M234" s="104"/>
      <c r="N234" s="86"/>
      <c r="O234" s="127"/>
      <c r="P234" s="105">
        <f t="shared" si="66"/>
        <v>3125.2</v>
      </c>
      <c r="Q234" s="115">
        <f t="shared" si="67"/>
        <v>2091.3</v>
      </c>
      <c r="R234" s="115">
        <f t="shared" si="68"/>
        <v>-1033.8999999999996</v>
      </c>
      <c r="S234" s="126">
        <f t="shared" si="69"/>
        <v>66.91731729169335</v>
      </c>
    </row>
    <row r="235" spans="3:19" s="30" customFormat="1" ht="45.75" customHeight="1">
      <c r="C235" s="26"/>
      <c r="D235" s="26"/>
      <c r="E235" s="26"/>
      <c r="F235" s="34" t="s">
        <v>127</v>
      </c>
      <c r="G235" s="104">
        <v>3089</v>
      </c>
      <c r="H235" s="104">
        <v>2055.3</v>
      </c>
      <c r="I235" s="107">
        <f t="shared" si="65"/>
        <v>66.53609582389123</v>
      </c>
      <c r="J235" s="104">
        <f t="shared" si="76"/>
        <v>0</v>
      </c>
      <c r="K235" s="104"/>
      <c r="L235" s="104"/>
      <c r="M235" s="104"/>
      <c r="N235" s="86"/>
      <c r="O235" s="127"/>
      <c r="P235" s="105">
        <f t="shared" si="66"/>
        <v>3089</v>
      </c>
      <c r="Q235" s="115">
        <f t="shared" si="67"/>
        <v>2055.3</v>
      </c>
      <c r="R235" s="115">
        <f t="shared" si="68"/>
        <v>-1033.6999999999998</v>
      </c>
      <c r="S235" s="126">
        <f t="shared" si="69"/>
        <v>66.53609582389123</v>
      </c>
    </row>
    <row r="236" spans="3:19" s="30" customFormat="1" ht="45.75" customHeight="1">
      <c r="C236" s="26"/>
      <c r="D236" s="26"/>
      <c r="E236" s="26"/>
      <c r="F236" s="34" t="s">
        <v>505</v>
      </c>
      <c r="G236" s="104">
        <v>36.2</v>
      </c>
      <c r="H236" s="104">
        <v>36</v>
      </c>
      <c r="I236" s="107">
        <f t="shared" si="65"/>
        <v>99.44751381215468</v>
      </c>
      <c r="J236" s="104">
        <f t="shared" si="76"/>
        <v>0</v>
      </c>
      <c r="K236" s="104"/>
      <c r="L236" s="104"/>
      <c r="M236" s="104"/>
      <c r="N236" s="86"/>
      <c r="O236" s="127"/>
      <c r="P236" s="105">
        <f t="shared" si="66"/>
        <v>36.2</v>
      </c>
      <c r="Q236" s="115">
        <f t="shared" si="67"/>
        <v>36</v>
      </c>
      <c r="R236" s="115">
        <f t="shared" si="68"/>
        <v>-0.20000000000000284</v>
      </c>
      <c r="S236" s="126">
        <f t="shared" si="69"/>
        <v>99.44751381215468</v>
      </c>
    </row>
    <row r="237" spans="3:19" s="30" customFormat="1" ht="75" customHeight="1">
      <c r="C237" s="26" t="s">
        <v>291</v>
      </c>
      <c r="D237" s="26" t="s">
        <v>104</v>
      </c>
      <c r="E237" s="26" t="s">
        <v>96</v>
      </c>
      <c r="F237" s="27" t="s">
        <v>290</v>
      </c>
      <c r="G237" s="104">
        <f>G238+G239</f>
        <v>25.6</v>
      </c>
      <c r="H237" s="104">
        <f>H238+H239</f>
        <v>13.3</v>
      </c>
      <c r="I237" s="107">
        <f t="shared" si="65"/>
        <v>51.953125</v>
      </c>
      <c r="J237" s="104">
        <f t="shared" si="76"/>
        <v>0</v>
      </c>
      <c r="K237" s="104">
        <f>K238+K239</f>
        <v>0</v>
      </c>
      <c r="L237" s="104">
        <f>L238+L239</f>
        <v>0</v>
      </c>
      <c r="M237" s="104">
        <f>M238+M239</f>
        <v>0</v>
      </c>
      <c r="N237" s="86">
        <f>N238+N239</f>
        <v>0</v>
      </c>
      <c r="O237" s="127"/>
      <c r="P237" s="105">
        <f t="shared" si="66"/>
        <v>25.6</v>
      </c>
      <c r="Q237" s="115">
        <f t="shared" si="67"/>
        <v>13.3</v>
      </c>
      <c r="R237" s="115">
        <f t="shared" si="68"/>
        <v>-12.3</v>
      </c>
      <c r="S237" s="126">
        <f t="shared" si="69"/>
        <v>51.953125</v>
      </c>
    </row>
    <row r="238" spans="3:19" s="30" customFormat="1" ht="58.5" customHeight="1">
      <c r="C238" s="26"/>
      <c r="D238" s="26"/>
      <c r="E238" s="26"/>
      <c r="F238" s="27" t="s">
        <v>136</v>
      </c>
      <c r="G238" s="104">
        <v>25.6</v>
      </c>
      <c r="H238" s="104">
        <v>13.3</v>
      </c>
      <c r="I238" s="107">
        <f t="shared" si="65"/>
        <v>51.953125</v>
      </c>
      <c r="J238" s="104">
        <f t="shared" si="76"/>
        <v>0</v>
      </c>
      <c r="K238" s="112"/>
      <c r="L238" s="104"/>
      <c r="M238" s="104"/>
      <c r="N238" s="86"/>
      <c r="O238" s="127"/>
      <c r="P238" s="105">
        <f t="shared" si="66"/>
        <v>25.6</v>
      </c>
      <c r="Q238" s="115">
        <f t="shared" si="67"/>
        <v>13.3</v>
      </c>
      <c r="R238" s="115">
        <f t="shared" si="68"/>
        <v>-12.3</v>
      </c>
      <c r="S238" s="126">
        <f t="shared" si="69"/>
        <v>51.953125</v>
      </c>
    </row>
    <row r="239" spans="3:19" s="30" customFormat="1" ht="38.25" customHeight="1">
      <c r="C239" s="26"/>
      <c r="D239" s="26"/>
      <c r="E239" s="26"/>
      <c r="F239" s="27" t="s">
        <v>105</v>
      </c>
      <c r="G239" s="104"/>
      <c r="H239" s="104"/>
      <c r="I239" s="128" t="e">
        <f t="shared" si="65"/>
        <v>#DIV/0!</v>
      </c>
      <c r="J239" s="104">
        <f t="shared" si="76"/>
        <v>0</v>
      </c>
      <c r="K239" s="112"/>
      <c r="L239" s="104"/>
      <c r="M239" s="104"/>
      <c r="N239" s="86"/>
      <c r="O239" s="127"/>
      <c r="P239" s="105">
        <f t="shared" si="66"/>
        <v>0</v>
      </c>
      <c r="Q239" s="115">
        <f t="shared" si="67"/>
        <v>0</v>
      </c>
      <c r="R239" s="115">
        <f t="shared" si="68"/>
        <v>0</v>
      </c>
      <c r="S239" s="126" t="e">
        <f t="shared" si="69"/>
        <v>#DIV/0!</v>
      </c>
    </row>
    <row r="240" spans="3:19" s="30" customFormat="1" ht="38.25" customHeight="1">
      <c r="C240" s="4"/>
      <c r="D240" s="4"/>
      <c r="E240" s="4"/>
      <c r="F240" s="25" t="s">
        <v>361</v>
      </c>
      <c r="G240" s="104"/>
      <c r="H240" s="104"/>
      <c r="I240" s="128"/>
      <c r="J240" s="104">
        <f>J241</f>
        <v>18</v>
      </c>
      <c r="K240" s="104">
        <f>K241</f>
        <v>0</v>
      </c>
      <c r="L240" s="104">
        <f>L241</f>
        <v>17.2</v>
      </c>
      <c r="M240" s="104">
        <f>M241</f>
        <v>0</v>
      </c>
      <c r="N240" s="86"/>
      <c r="O240" s="127">
        <f t="shared" si="60"/>
        <v>95.55555555555554</v>
      </c>
      <c r="P240" s="105">
        <f t="shared" si="66"/>
        <v>18</v>
      </c>
      <c r="Q240" s="115"/>
      <c r="R240" s="115"/>
      <c r="S240" s="126"/>
    </row>
    <row r="241" spans="3:19" s="30" customFormat="1" ht="132">
      <c r="C241" s="4" t="s">
        <v>506</v>
      </c>
      <c r="D241" s="4" t="s">
        <v>415</v>
      </c>
      <c r="E241" s="4" t="s">
        <v>49</v>
      </c>
      <c r="F241" s="34" t="s">
        <v>416</v>
      </c>
      <c r="G241" s="104"/>
      <c r="H241" s="104"/>
      <c r="I241" s="128"/>
      <c r="J241" s="104">
        <v>18</v>
      </c>
      <c r="K241" s="112"/>
      <c r="L241" s="104">
        <v>17.2</v>
      </c>
      <c r="M241" s="104"/>
      <c r="N241" s="86"/>
      <c r="O241" s="127">
        <f t="shared" si="60"/>
        <v>95.55555555555554</v>
      </c>
      <c r="P241" s="105"/>
      <c r="Q241" s="115"/>
      <c r="R241" s="115"/>
      <c r="S241" s="126"/>
    </row>
    <row r="242" spans="3:19" s="69" customFormat="1" ht="27.75" customHeight="1">
      <c r="C242" s="70"/>
      <c r="D242" s="70"/>
      <c r="E242" s="70"/>
      <c r="F242" s="72" t="s">
        <v>9</v>
      </c>
      <c r="G242" s="109">
        <f>G207+G210+G213+G216+G226</f>
        <v>14842.2</v>
      </c>
      <c r="H242" s="109">
        <f>H207+H210+H213+H216+H226</f>
        <v>10386.800000000001</v>
      </c>
      <c r="I242" s="107">
        <f t="shared" si="65"/>
        <v>69.98153912492756</v>
      </c>
      <c r="J242" s="109">
        <f>J207+J210+J213+J216+J226+J240</f>
        <v>768.4</v>
      </c>
      <c r="K242" s="109">
        <f>K207+K210+K213+K216+K226+K240</f>
        <v>301.39000000000004</v>
      </c>
      <c r="L242" s="109">
        <f>L207+L210+L213+L216+L226+L240</f>
        <v>653.2</v>
      </c>
      <c r="M242" s="109">
        <f>M207+M210+M213+M216+M226+M240</f>
        <v>395.1</v>
      </c>
      <c r="N242" s="89" t="e">
        <f>N207+N210+N213+N216+N226</f>
        <v>#REF!</v>
      </c>
      <c r="O242" s="127">
        <f t="shared" si="60"/>
        <v>85.00780843310777</v>
      </c>
      <c r="P242" s="105">
        <f t="shared" si="66"/>
        <v>15610.6</v>
      </c>
      <c r="Q242" s="115">
        <f t="shared" si="67"/>
        <v>11040.000000000002</v>
      </c>
      <c r="R242" s="115">
        <f t="shared" si="68"/>
        <v>-4570.5999999999985</v>
      </c>
      <c r="S242" s="126">
        <f t="shared" si="69"/>
        <v>70.72117663638811</v>
      </c>
    </row>
    <row r="243" spans="3:19" s="6" customFormat="1" ht="53.25" customHeight="1">
      <c r="C243" s="24" t="s">
        <v>444</v>
      </c>
      <c r="D243" s="26"/>
      <c r="E243" s="26"/>
      <c r="F243" s="25" t="s">
        <v>616</v>
      </c>
      <c r="G243" s="104"/>
      <c r="H243" s="104"/>
      <c r="I243" s="107"/>
      <c r="J243" s="104"/>
      <c r="K243" s="104"/>
      <c r="L243" s="104"/>
      <c r="M243" s="104"/>
      <c r="N243" s="86"/>
      <c r="O243" s="127"/>
      <c r="P243" s="105"/>
      <c r="Q243" s="115"/>
      <c r="R243" s="115"/>
      <c r="S243" s="126"/>
    </row>
    <row r="244" spans="3:19" s="6" customFormat="1" ht="75" customHeight="1">
      <c r="C244" s="24" t="s">
        <v>443</v>
      </c>
      <c r="D244" s="26"/>
      <c r="E244" s="26"/>
      <c r="F244" s="25" t="s">
        <v>617</v>
      </c>
      <c r="G244" s="104"/>
      <c r="H244" s="104"/>
      <c r="I244" s="107"/>
      <c r="J244" s="104"/>
      <c r="K244" s="104"/>
      <c r="L244" s="104"/>
      <c r="M244" s="104"/>
      <c r="N244" s="86"/>
      <c r="O244" s="127"/>
      <c r="P244" s="105"/>
      <c r="Q244" s="115"/>
      <c r="R244" s="115"/>
      <c r="S244" s="126"/>
    </row>
    <row r="245" spans="3:19" s="38" customFormat="1" ht="35.25" customHeight="1">
      <c r="C245" s="24"/>
      <c r="D245" s="24"/>
      <c r="E245" s="24"/>
      <c r="F245" s="25" t="s">
        <v>331</v>
      </c>
      <c r="G245" s="105">
        <f>G246</f>
        <v>4460.1</v>
      </c>
      <c r="H245" s="105">
        <f aca="true" t="shared" si="77" ref="H245:N245">H246</f>
        <v>3677</v>
      </c>
      <c r="I245" s="107">
        <f t="shared" si="65"/>
        <v>82.44209771081366</v>
      </c>
      <c r="J245" s="105">
        <f>K245+N245</f>
        <v>0</v>
      </c>
      <c r="K245" s="105">
        <f t="shared" si="77"/>
        <v>0</v>
      </c>
      <c r="L245" s="105">
        <f t="shared" si="77"/>
        <v>0</v>
      </c>
      <c r="M245" s="105">
        <f t="shared" si="77"/>
        <v>0</v>
      </c>
      <c r="N245" s="88">
        <f t="shared" si="77"/>
        <v>0</v>
      </c>
      <c r="O245" s="127"/>
      <c r="P245" s="105">
        <f t="shared" si="66"/>
        <v>4460.1</v>
      </c>
      <c r="Q245" s="115">
        <f t="shared" si="67"/>
        <v>3677</v>
      </c>
      <c r="R245" s="115">
        <f t="shared" si="68"/>
        <v>-783.1000000000004</v>
      </c>
      <c r="S245" s="126">
        <f t="shared" si="69"/>
        <v>82.44209771081366</v>
      </c>
    </row>
    <row r="246" spans="1:19" s="6" customFormat="1" ht="58.5" customHeight="1">
      <c r="A246" s="6">
        <v>5</v>
      </c>
      <c r="B246" s="6">
        <v>36</v>
      </c>
      <c r="C246" s="26" t="s">
        <v>442</v>
      </c>
      <c r="D246" s="26" t="s">
        <v>51</v>
      </c>
      <c r="E246" s="26" t="s">
        <v>47</v>
      </c>
      <c r="F246" s="27" t="s">
        <v>156</v>
      </c>
      <c r="G246" s="104">
        <f>G247</f>
        <v>4460.1</v>
      </c>
      <c r="H246" s="104">
        <f>H247</f>
        <v>3677</v>
      </c>
      <c r="I246" s="107">
        <f t="shared" si="65"/>
        <v>82.44209771081366</v>
      </c>
      <c r="J246" s="104">
        <f>K246+N246</f>
        <v>0</v>
      </c>
      <c r="K246" s="104">
        <f>K247</f>
        <v>0</v>
      </c>
      <c r="L246" s="104">
        <f>L247</f>
        <v>0</v>
      </c>
      <c r="M246" s="104">
        <f>M247</f>
        <v>0</v>
      </c>
      <c r="N246" s="86">
        <f>N247</f>
        <v>0</v>
      </c>
      <c r="O246" s="127"/>
      <c r="P246" s="105">
        <f t="shared" si="66"/>
        <v>4460.1</v>
      </c>
      <c r="Q246" s="115">
        <f t="shared" si="67"/>
        <v>3677</v>
      </c>
      <c r="R246" s="115">
        <f t="shared" si="68"/>
        <v>-783.1000000000004</v>
      </c>
      <c r="S246" s="126">
        <f t="shared" si="69"/>
        <v>82.44209771081366</v>
      </c>
    </row>
    <row r="247" spans="3:19" s="30" customFormat="1" ht="39" customHeight="1">
      <c r="C247" s="26"/>
      <c r="D247" s="26"/>
      <c r="E247" s="26"/>
      <c r="F247" s="27" t="s">
        <v>159</v>
      </c>
      <c r="G247" s="106">
        <v>4460.1</v>
      </c>
      <c r="H247" s="106">
        <v>3677</v>
      </c>
      <c r="I247" s="107">
        <f t="shared" si="65"/>
        <v>82.44209771081366</v>
      </c>
      <c r="J247" s="104">
        <f>K247+N247</f>
        <v>0</v>
      </c>
      <c r="K247" s="106"/>
      <c r="L247" s="106"/>
      <c r="M247" s="106"/>
      <c r="N247" s="90"/>
      <c r="O247" s="127"/>
      <c r="P247" s="105">
        <f t="shared" si="66"/>
        <v>4460.1</v>
      </c>
      <c r="Q247" s="115">
        <f t="shared" si="67"/>
        <v>3677</v>
      </c>
      <c r="R247" s="115">
        <f t="shared" si="68"/>
        <v>-783.1000000000004</v>
      </c>
      <c r="S247" s="126">
        <f t="shared" si="69"/>
        <v>82.44209771081366</v>
      </c>
    </row>
    <row r="248" spans="3:19" s="38" customFormat="1" ht="43.5" customHeight="1">
      <c r="C248" s="24"/>
      <c r="D248" s="24"/>
      <c r="E248" s="24"/>
      <c r="F248" s="25" t="s">
        <v>292</v>
      </c>
      <c r="G248" s="105">
        <f>G249+G251</f>
        <v>0</v>
      </c>
      <c r="H248" s="105">
        <f aca="true" t="shared" si="78" ref="H248:N248">H249+H251</f>
        <v>0</v>
      </c>
      <c r="I248" s="128" t="e">
        <f t="shared" si="65"/>
        <v>#DIV/0!</v>
      </c>
      <c r="J248" s="105">
        <f>J249+J251</f>
        <v>9684.9</v>
      </c>
      <c r="K248" s="105">
        <f t="shared" si="78"/>
        <v>0</v>
      </c>
      <c r="L248" s="105">
        <f t="shared" si="78"/>
        <v>4963.6</v>
      </c>
      <c r="M248" s="105">
        <f t="shared" si="78"/>
        <v>4963.6</v>
      </c>
      <c r="N248" s="49">
        <f t="shared" si="78"/>
        <v>9170</v>
      </c>
      <c r="O248" s="127">
        <f aca="true" t="shared" si="79" ref="O248:O305">L248/J248*100</f>
        <v>51.25091637497549</v>
      </c>
      <c r="P248" s="105">
        <f t="shared" si="66"/>
        <v>9684.9</v>
      </c>
      <c r="Q248" s="115">
        <f t="shared" si="67"/>
        <v>4963.6</v>
      </c>
      <c r="R248" s="115">
        <f t="shared" si="68"/>
        <v>-4721.299999999999</v>
      </c>
      <c r="S248" s="126">
        <f t="shared" si="69"/>
        <v>51.25091637497549</v>
      </c>
    </row>
    <row r="249" spans="3:19" s="6" customFormat="1" ht="41.25" customHeight="1">
      <c r="C249" s="26" t="s">
        <v>518</v>
      </c>
      <c r="D249" s="26" t="s">
        <v>52</v>
      </c>
      <c r="E249" s="26" t="s">
        <v>53</v>
      </c>
      <c r="F249" s="27" t="s">
        <v>519</v>
      </c>
      <c r="G249" s="104">
        <f>G250</f>
        <v>0</v>
      </c>
      <c r="H249" s="104">
        <f>H250</f>
        <v>0</v>
      </c>
      <c r="I249" s="128" t="e">
        <f t="shared" si="65"/>
        <v>#DIV/0!</v>
      </c>
      <c r="J249" s="104">
        <f>J250</f>
        <v>5750</v>
      </c>
      <c r="K249" s="104">
        <f>K250</f>
        <v>0</v>
      </c>
      <c r="L249" s="104">
        <f>L250</f>
        <v>1726.6</v>
      </c>
      <c r="M249" s="104">
        <f>M250</f>
        <v>1726.6</v>
      </c>
      <c r="N249" s="86">
        <f>N250</f>
        <v>6446</v>
      </c>
      <c r="O249" s="127">
        <f t="shared" si="79"/>
        <v>30.027826086956523</v>
      </c>
      <c r="P249" s="105">
        <f t="shared" si="66"/>
        <v>5750</v>
      </c>
      <c r="Q249" s="115">
        <f t="shared" si="67"/>
        <v>1726.6</v>
      </c>
      <c r="R249" s="115">
        <f t="shared" si="68"/>
        <v>-4023.4</v>
      </c>
      <c r="S249" s="126">
        <f t="shared" si="69"/>
        <v>30.027826086956523</v>
      </c>
    </row>
    <row r="250" spans="3:19" s="30" customFormat="1" ht="80.25" customHeight="1">
      <c r="C250" s="26"/>
      <c r="D250" s="26"/>
      <c r="E250" s="26"/>
      <c r="F250" s="27" t="s">
        <v>520</v>
      </c>
      <c r="G250" s="106"/>
      <c r="H250" s="106"/>
      <c r="I250" s="128" t="e">
        <f t="shared" si="65"/>
        <v>#DIV/0!</v>
      </c>
      <c r="J250" s="104">
        <v>5750</v>
      </c>
      <c r="K250" s="106"/>
      <c r="L250" s="106">
        <v>1726.6</v>
      </c>
      <c r="M250" s="106">
        <v>1726.6</v>
      </c>
      <c r="N250" s="90">
        <v>6446</v>
      </c>
      <c r="O250" s="127">
        <f t="shared" si="79"/>
        <v>30.027826086956523</v>
      </c>
      <c r="P250" s="105">
        <f t="shared" si="66"/>
        <v>5750</v>
      </c>
      <c r="Q250" s="115">
        <f t="shared" si="67"/>
        <v>1726.6</v>
      </c>
      <c r="R250" s="115">
        <f t="shared" si="68"/>
        <v>-4023.4</v>
      </c>
      <c r="S250" s="126">
        <f t="shared" si="69"/>
        <v>30.027826086956523</v>
      </c>
    </row>
    <row r="251" spans="3:19" s="30" customFormat="1" ht="80.25" customHeight="1">
      <c r="C251" s="26" t="s">
        <v>521</v>
      </c>
      <c r="D251" s="26" t="s">
        <v>54</v>
      </c>
      <c r="E251" s="26" t="s">
        <v>55</v>
      </c>
      <c r="F251" s="34" t="s">
        <v>522</v>
      </c>
      <c r="G251" s="159">
        <f>G252</f>
        <v>0</v>
      </c>
      <c r="H251" s="159">
        <f aca="true" t="shared" si="80" ref="H251:N251">H252</f>
        <v>0</v>
      </c>
      <c r="I251" s="128" t="e">
        <f t="shared" si="65"/>
        <v>#DIV/0!</v>
      </c>
      <c r="J251" s="104">
        <f>J252</f>
        <v>3934.9</v>
      </c>
      <c r="K251" s="106">
        <f t="shared" si="80"/>
        <v>0</v>
      </c>
      <c r="L251" s="106">
        <f t="shared" si="80"/>
        <v>3237</v>
      </c>
      <c r="M251" s="106">
        <f t="shared" si="80"/>
        <v>3237</v>
      </c>
      <c r="N251" s="90">
        <f t="shared" si="80"/>
        <v>2724</v>
      </c>
      <c r="O251" s="127">
        <f t="shared" si="79"/>
        <v>82.26384406211085</v>
      </c>
      <c r="P251" s="105">
        <f t="shared" si="66"/>
        <v>3934.9</v>
      </c>
      <c r="Q251" s="115">
        <f t="shared" si="67"/>
        <v>3237</v>
      </c>
      <c r="R251" s="115">
        <f t="shared" si="68"/>
        <v>-697.9000000000001</v>
      </c>
      <c r="S251" s="126">
        <f t="shared" si="69"/>
        <v>82.26384406211085</v>
      </c>
    </row>
    <row r="252" spans="3:19" s="30" customFormat="1" ht="65.25" customHeight="1">
      <c r="C252" s="26"/>
      <c r="D252" s="26"/>
      <c r="E252" s="26"/>
      <c r="F252" s="27" t="s">
        <v>520</v>
      </c>
      <c r="G252" s="106"/>
      <c r="H252" s="106"/>
      <c r="I252" s="128" t="e">
        <f t="shared" si="65"/>
        <v>#DIV/0!</v>
      </c>
      <c r="J252" s="104">
        <v>3934.9</v>
      </c>
      <c r="K252" s="106"/>
      <c r="L252" s="106">
        <v>3237</v>
      </c>
      <c r="M252" s="106">
        <v>3237</v>
      </c>
      <c r="N252" s="90">
        <v>2724</v>
      </c>
      <c r="O252" s="127">
        <f t="shared" si="79"/>
        <v>82.26384406211085</v>
      </c>
      <c r="P252" s="105">
        <f t="shared" si="66"/>
        <v>3934.9</v>
      </c>
      <c r="Q252" s="115">
        <f t="shared" si="67"/>
        <v>3237</v>
      </c>
      <c r="R252" s="115">
        <f t="shared" si="68"/>
        <v>-697.9000000000001</v>
      </c>
      <c r="S252" s="126">
        <f t="shared" si="69"/>
        <v>82.26384406211085</v>
      </c>
    </row>
    <row r="253" spans="3:19" s="55" customFormat="1" ht="42" customHeight="1">
      <c r="C253" s="24" t="s">
        <v>507</v>
      </c>
      <c r="D253" s="24" t="s">
        <v>321</v>
      </c>
      <c r="E253" s="24"/>
      <c r="F253" s="25" t="s">
        <v>322</v>
      </c>
      <c r="G253" s="105">
        <f>G254+G261+G265+G274+G280+G291+G293</f>
        <v>20757.1</v>
      </c>
      <c r="H253" s="105">
        <f>H254+H261+H265+H274+H280+H291+H293</f>
        <v>15900.199999999997</v>
      </c>
      <c r="I253" s="107">
        <f t="shared" si="65"/>
        <v>76.6012593281335</v>
      </c>
      <c r="J253" s="105">
        <f>J254+J261+J265+J274+J280+J291+J293</f>
        <v>7371.7</v>
      </c>
      <c r="K253" s="105">
        <f>K254+K261+K265+K274+K280+K291+K293</f>
        <v>0</v>
      </c>
      <c r="L253" s="105">
        <f>L254+L261+L265+L274+L280+L291+L293</f>
        <v>5282.1</v>
      </c>
      <c r="M253" s="105">
        <f>M254+M261+M265+M274+M280+M291+M293</f>
        <v>5282.1</v>
      </c>
      <c r="N253" s="49" t="e">
        <f>#REF!+N280+N291+N293</f>
        <v>#REF!</v>
      </c>
      <c r="O253" s="127">
        <f t="shared" si="79"/>
        <v>71.65375693530666</v>
      </c>
      <c r="P253" s="105">
        <f t="shared" si="66"/>
        <v>28128.8</v>
      </c>
      <c r="Q253" s="115">
        <f t="shared" si="67"/>
        <v>21182.299999999996</v>
      </c>
      <c r="R253" s="115">
        <f t="shared" si="68"/>
        <v>-6946.500000000004</v>
      </c>
      <c r="S253" s="126">
        <f t="shared" si="69"/>
        <v>75.30466994681606</v>
      </c>
    </row>
    <row r="254" spans="1:19" s="58" customFormat="1" ht="55.5" customHeight="1">
      <c r="A254" s="30"/>
      <c r="B254" s="30"/>
      <c r="C254" s="26" t="s">
        <v>508</v>
      </c>
      <c r="D254" s="26" t="s">
        <v>298</v>
      </c>
      <c r="E254" s="26" t="s">
        <v>87</v>
      </c>
      <c r="F254" s="32" t="s">
        <v>304</v>
      </c>
      <c r="G254" s="104">
        <f>SUM(G255:G260)</f>
        <v>1941.8</v>
      </c>
      <c r="H254" s="104">
        <f aca="true" t="shared" si="81" ref="H254:M254">SUM(H255:H260)</f>
        <v>1407.9</v>
      </c>
      <c r="I254" s="107">
        <f t="shared" si="65"/>
        <v>72.50489236790607</v>
      </c>
      <c r="J254" s="104">
        <f>J255+J256+J257+J259+J260</f>
        <v>1346.1</v>
      </c>
      <c r="K254" s="104">
        <f t="shared" si="81"/>
        <v>0</v>
      </c>
      <c r="L254" s="104">
        <f t="shared" si="81"/>
        <v>221.59999999999997</v>
      </c>
      <c r="M254" s="104">
        <f t="shared" si="81"/>
        <v>221.59999999999997</v>
      </c>
      <c r="N254" s="86">
        <f>SUM(N255:N260)</f>
        <v>719.95426</v>
      </c>
      <c r="O254" s="127">
        <f t="shared" si="79"/>
        <v>16.462372780625508</v>
      </c>
      <c r="P254" s="105">
        <f t="shared" si="66"/>
        <v>3287.8999999999996</v>
      </c>
      <c r="Q254" s="115">
        <f t="shared" si="67"/>
        <v>1629.5</v>
      </c>
      <c r="R254" s="115">
        <f t="shared" si="68"/>
        <v>-1658.3999999999996</v>
      </c>
      <c r="S254" s="126">
        <f t="shared" si="69"/>
        <v>49.560509747863385</v>
      </c>
    </row>
    <row r="255" spans="1:19" s="58" customFormat="1" ht="66.75" customHeight="1">
      <c r="A255" s="30"/>
      <c r="B255" s="30"/>
      <c r="C255" s="26"/>
      <c r="D255" s="26"/>
      <c r="E255" s="26"/>
      <c r="F255" s="32" t="s">
        <v>30</v>
      </c>
      <c r="G255" s="104">
        <v>1185.3</v>
      </c>
      <c r="H255" s="104">
        <f>326.1+511.5</f>
        <v>837.6</v>
      </c>
      <c r="I255" s="107">
        <f t="shared" si="65"/>
        <v>70.66565426474311</v>
      </c>
      <c r="J255" s="104">
        <v>215</v>
      </c>
      <c r="K255" s="104"/>
      <c r="L255" s="104">
        <v>81.3</v>
      </c>
      <c r="M255" s="104">
        <v>81.3</v>
      </c>
      <c r="N255" s="86"/>
      <c r="O255" s="127">
        <f t="shared" si="79"/>
        <v>37.81395348837209</v>
      </c>
      <c r="P255" s="105">
        <f t="shared" si="66"/>
        <v>1400.3</v>
      </c>
      <c r="Q255" s="115">
        <f t="shared" si="67"/>
        <v>918.9</v>
      </c>
      <c r="R255" s="115">
        <f t="shared" si="68"/>
        <v>-481.4</v>
      </c>
      <c r="S255" s="126">
        <f t="shared" si="69"/>
        <v>65.62165250303507</v>
      </c>
    </row>
    <row r="256" spans="1:19" s="58" customFormat="1" ht="60.75" customHeight="1">
      <c r="A256" s="30"/>
      <c r="B256" s="30"/>
      <c r="C256" s="26"/>
      <c r="D256" s="26"/>
      <c r="E256" s="26"/>
      <c r="F256" s="32" t="s">
        <v>131</v>
      </c>
      <c r="G256" s="104">
        <v>610</v>
      </c>
      <c r="H256" s="104">
        <v>483.4</v>
      </c>
      <c r="I256" s="107">
        <f t="shared" si="65"/>
        <v>79.24590163934427</v>
      </c>
      <c r="J256" s="104">
        <f>K256+N256</f>
        <v>690</v>
      </c>
      <c r="K256" s="104"/>
      <c r="L256" s="104">
        <v>89.6</v>
      </c>
      <c r="M256" s="104">
        <v>89.6</v>
      </c>
      <c r="N256" s="86">
        <v>690</v>
      </c>
      <c r="O256" s="127">
        <f t="shared" si="79"/>
        <v>12.985507246376809</v>
      </c>
      <c r="P256" s="105">
        <f t="shared" si="66"/>
        <v>1300</v>
      </c>
      <c r="Q256" s="115">
        <f t="shared" si="67"/>
        <v>573</v>
      </c>
      <c r="R256" s="115">
        <f t="shared" si="68"/>
        <v>-727</v>
      </c>
      <c r="S256" s="126">
        <f t="shared" si="69"/>
        <v>44.07692307692307</v>
      </c>
    </row>
    <row r="257" spans="1:19" s="58" customFormat="1" ht="42.75" customHeight="1">
      <c r="A257" s="30"/>
      <c r="B257" s="30"/>
      <c r="C257" s="26"/>
      <c r="D257" s="26"/>
      <c r="E257" s="26"/>
      <c r="F257" s="32" t="s">
        <v>550</v>
      </c>
      <c r="G257" s="104">
        <v>101.4</v>
      </c>
      <c r="H257" s="104">
        <v>86.9</v>
      </c>
      <c r="I257" s="107">
        <f t="shared" si="65"/>
        <v>85.70019723865879</v>
      </c>
      <c r="J257" s="104">
        <v>15</v>
      </c>
      <c r="K257" s="104"/>
      <c r="L257" s="104">
        <v>15</v>
      </c>
      <c r="M257" s="104">
        <v>15</v>
      </c>
      <c r="N257" s="12">
        <v>14.95426</v>
      </c>
      <c r="O257" s="127">
        <f t="shared" si="79"/>
        <v>100</v>
      </c>
      <c r="P257" s="105">
        <f t="shared" si="66"/>
        <v>116.4</v>
      </c>
      <c r="Q257" s="115">
        <f t="shared" si="67"/>
        <v>101.9</v>
      </c>
      <c r="R257" s="115">
        <f t="shared" si="68"/>
        <v>-14.5</v>
      </c>
      <c r="S257" s="126">
        <f t="shared" si="69"/>
        <v>87.54295532646049</v>
      </c>
    </row>
    <row r="258" spans="1:19" s="58" customFormat="1" ht="64.5" customHeight="1" hidden="1">
      <c r="A258" s="30"/>
      <c r="B258" s="30"/>
      <c r="C258" s="26"/>
      <c r="D258" s="26"/>
      <c r="E258" s="26"/>
      <c r="F258" s="32" t="s">
        <v>31</v>
      </c>
      <c r="G258" s="104"/>
      <c r="H258" s="104"/>
      <c r="I258" s="107" t="e">
        <f t="shared" si="65"/>
        <v>#DIV/0!</v>
      </c>
      <c r="J258" s="104">
        <f aca="true" t="shared" si="82" ref="J258:J273">K258+N258</f>
        <v>0</v>
      </c>
      <c r="K258" s="104"/>
      <c r="L258" s="104"/>
      <c r="M258" s="104"/>
      <c r="N258" s="86"/>
      <c r="O258" s="127" t="e">
        <f t="shared" si="79"/>
        <v>#DIV/0!</v>
      </c>
      <c r="P258" s="105">
        <f t="shared" si="66"/>
        <v>0</v>
      </c>
      <c r="Q258" s="115">
        <f t="shared" si="67"/>
        <v>0</v>
      </c>
      <c r="R258" s="115">
        <f t="shared" si="68"/>
        <v>0</v>
      </c>
      <c r="S258" s="126" t="e">
        <f t="shared" si="69"/>
        <v>#DIV/0!</v>
      </c>
    </row>
    <row r="259" spans="1:19" s="58" customFormat="1" ht="64.5" customHeight="1">
      <c r="A259" s="30"/>
      <c r="B259" s="30"/>
      <c r="C259" s="26"/>
      <c r="D259" s="26"/>
      <c r="E259" s="26"/>
      <c r="F259" s="32" t="s">
        <v>31</v>
      </c>
      <c r="G259" s="104">
        <v>45.1</v>
      </c>
      <c r="H259" s="104"/>
      <c r="I259" s="107"/>
      <c r="J259" s="104"/>
      <c r="K259" s="104"/>
      <c r="L259" s="104"/>
      <c r="M259" s="104"/>
      <c r="N259" s="86"/>
      <c r="O259" s="127"/>
      <c r="P259" s="105"/>
      <c r="Q259" s="115"/>
      <c r="R259" s="115"/>
      <c r="S259" s="126"/>
    </row>
    <row r="260" spans="3:19" s="14" customFormat="1" ht="60" customHeight="1">
      <c r="C260" s="26"/>
      <c r="D260" s="26"/>
      <c r="E260" s="26"/>
      <c r="F260" s="27" t="s">
        <v>85</v>
      </c>
      <c r="G260" s="104"/>
      <c r="H260" s="104"/>
      <c r="I260" s="128" t="e">
        <f t="shared" si="65"/>
        <v>#DIV/0!</v>
      </c>
      <c r="J260" s="104">
        <v>426.1</v>
      </c>
      <c r="K260" s="104"/>
      <c r="L260" s="104">
        <v>35.7</v>
      </c>
      <c r="M260" s="104">
        <v>35.7</v>
      </c>
      <c r="N260" s="86">
        <v>15</v>
      </c>
      <c r="O260" s="127">
        <f t="shared" si="79"/>
        <v>8.37831494954236</v>
      </c>
      <c r="P260" s="105">
        <f t="shared" si="66"/>
        <v>426.1</v>
      </c>
      <c r="Q260" s="115">
        <f t="shared" si="67"/>
        <v>35.7</v>
      </c>
      <c r="R260" s="115">
        <f t="shared" si="68"/>
        <v>-390.40000000000003</v>
      </c>
      <c r="S260" s="126">
        <f t="shared" si="69"/>
        <v>8.37831494954236</v>
      </c>
    </row>
    <row r="261" spans="3:19" s="30" customFormat="1" ht="51.75" customHeight="1">
      <c r="C261" s="26" t="s">
        <v>509</v>
      </c>
      <c r="D261" s="26" t="s">
        <v>299</v>
      </c>
      <c r="E261" s="26" t="s">
        <v>87</v>
      </c>
      <c r="F261" s="27" t="s">
        <v>300</v>
      </c>
      <c r="G261" s="104">
        <f>G262</f>
        <v>0</v>
      </c>
      <c r="H261" s="104">
        <f>H262</f>
        <v>0</v>
      </c>
      <c r="I261" s="128" t="e">
        <f t="shared" si="65"/>
        <v>#DIV/0!</v>
      </c>
      <c r="J261" s="104">
        <f>J262</f>
        <v>5</v>
      </c>
      <c r="K261" s="104">
        <f>K262</f>
        <v>0</v>
      </c>
      <c r="L261" s="104">
        <f>L262</f>
        <v>5</v>
      </c>
      <c r="M261" s="104">
        <f>M262</f>
        <v>5</v>
      </c>
      <c r="N261" s="12">
        <f>SUM(N262:N264)</f>
        <v>5</v>
      </c>
      <c r="O261" s="127">
        <f t="shared" si="79"/>
        <v>100</v>
      </c>
      <c r="P261" s="105">
        <f t="shared" si="66"/>
        <v>5</v>
      </c>
      <c r="Q261" s="115">
        <f t="shared" si="67"/>
        <v>5</v>
      </c>
      <c r="R261" s="115">
        <f t="shared" si="68"/>
        <v>0</v>
      </c>
      <c r="S261" s="126">
        <f t="shared" si="69"/>
        <v>100</v>
      </c>
    </row>
    <row r="262" spans="3:19" s="30" customFormat="1" ht="59.25" customHeight="1">
      <c r="C262" s="26"/>
      <c r="D262" s="26"/>
      <c r="E262" s="26"/>
      <c r="F262" s="27" t="s">
        <v>117</v>
      </c>
      <c r="G262" s="104"/>
      <c r="H262" s="104"/>
      <c r="I262" s="128" t="e">
        <f t="shared" si="65"/>
        <v>#DIV/0!</v>
      </c>
      <c r="J262" s="104">
        <v>5</v>
      </c>
      <c r="K262" s="104"/>
      <c r="L262" s="104">
        <v>5</v>
      </c>
      <c r="M262" s="104">
        <v>5</v>
      </c>
      <c r="N262" s="86">
        <v>5</v>
      </c>
      <c r="O262" s="127">
        <f t="shared" si="79"/>
        <v>100</v>
      </c>
      <c r="P262" s="105">
        <f t="shared" si="66"/>
        <v>5</v>
      </c>
      <c r="Q262" s="115">
        <f t="shared" si="67"/>
        <v>5</v>
      </c>
      <c r="R262" s="115">
        <f t="shared" si="68"/>
        <v>0</v>
      </c>
      <c r="S262" s="126">
        <f t="shared" si="69"/>
        <v>100</v>
      </c>
    </row>
    <row r="263" spans="3:19" s="30" customFormat="1" ht="60.75" customHeight="1" hidden="1">
      <c r="C263" s="26"/>
      <c r="D263" s="26"/>
      <c r="E263" s="26"/>
      <c r="F263" s="27" t="s">
        <v>30</v>
      </c>
      <c r="G263" s="104"/>
      <c r="H263" s="104"/>
      <c r="I263" s="128" t="e">
        <f t="shared" si="65"/>
        <v>#DIV/0!</v>
      </c>
      <c r="J263" s="104">
        <f t="shared" si="82"/>
        <v>0</v>
      </c>
      <c r="K263" s="104"/>
      <c r="L263" s="104"/>
      <c r="M263" s="104"/>
      <c r="N263" s="86"/>
      <c r="O263" s="127" t="e">
        <f t="shared" si="79"/>
        <v>#DIV/0!</v>
      </c>
      <c r="P263" s="105">
        <f t="shared" si="66"/>
        <v>0</v>
      </c>
      <c r="Q263" s="115">
        <f t="shared" si="67"/>
        <v>0</v>
      </c>
      <c r="R263" s="115">
        <f t="shared" si="68"/>
        <v>0</v>
      </c>
      <c r="S263" s="126" t="e">
        <f t="shared" si="69"/>
        <v>#DIV/0!</v>
      </c>
    </row>
    <row r="264" spans="3:19" s="30" customFormat="1" ht="60.75" customHeight="1" hidden="1">
      <c r="C264" s="26"/>
      <c r="D264" s="26"/>
      <c r="E264" s="26"/>
      <c r="F264" s="27" t="s">
        <v>523</v>
      </c>
      <c r="G264" s="104"/>
      <c r="H264" s="104"/>
      <c r="I264" s="128" t="e">
        <f aca="true" t="shared" si="83" ref="I264:I325">H264/G264*100</f>
        <v>#DIV/0!</v>
      </c>
      <c r="J264" s="104">
        <f t="shared" si="82"/>
        <v>0</v>
      </c>
      <c r="K264" s="104"/>
      <c r="L264" s="104"/>
      <c r="M264" s="104"/>
      <c r="N264" s="86"/>
      <c r="O264" s="127" t="e">
        <f t="shared" si="79"/>
        <v>#DIV/0!</v>
      </c>
      <c r="P264" s="105">
        <f aca="true" t="shared" si="84" ref="P264:P325">G264+J264</f>
        <v>0</v>
      </c>
      <c r="Q264" s="115">
        <f aca="true" t="shared" si="85" ref="Q264:Q325">H264+L264</f>
        <v>0</v>
      </c>
      <c r="R264" s="115">
        <f aca="true" t="shared" si="86" ref="R264:R325">Q264-P264</f>
        <v>0</v>
      </c>
      <c r="S264" s="126" t="e">
        <f aca="true" t="shared" si="87" ref="S264:S325">Q264/P264*100</f>
        <v>#DIV/0!</v>
      </c>
    </row>
    <row r="265" spans="3:19" s="6" customFormat="1" ht="38.25">
      <c r="C265" s="26" t="s">
        <v>510</v>
      </c>
      <c r="D265" s="26" t="s">
        <v>301</v>
      </c>
      <c r="E265" s="26" t="s">
        <v>87</v>
      </c>
      <c r="F265" s="27" t="s">
        <v>302</v>
      </c>
      <c r="G265" s="104">
        <f>SUM(G266:G271)</f>
        <v>10</v>
      </c>
      <c r="H265" s="104">
        <f>SUM(H266:H271)</f>
        <v>9.5</v>
      </c>
      <c r="I265" s="128">
        <f t="shared" si="83"/>
        <v>95</v>
      </c>
      <c r="J265" s="104">
        <f>SUM(J266:J271)</f>
        <v>0</v>
      </c>
      <c r="K265" s="104">
        <f>SUM(K266:K271)</f>
        <v>0</v>
      </c>
      <c r="L265" s="104">
        <f>SUM(L266:L271)</f>
        <v>0</v>
      </c>
      <c r="M265" s="104">
        <f>SUM(M266:M271)</f>
        <v>0</v>
      </c>
      <c r="N265" s="86">
        <f>SUM(N267:N271)</f>
        <v>0</v>
      </c>
      <c r="O265" s="127"/>
      <c r="P265" s="105">
        <f t="shared" si="84"/>
        <v>10</v>
      </c>
      <c r="Q265" s="115">
        <f t="shared" si="85"/>
        <v>9.5</v>
      </c>
      <c r="R265" s="115">
        <f t="shared" si="86"/>
        <v>-0.5</v>
      </c>
      <c r="S265" s="126">
        <f t="shared" si="87"/>
        <v>95</v>
      </c>
    </row>
    <row r="266" spans="3:19" s="6" customFormat="1" ht="38.25">
      <c r="C266" s="26"/>
      <c r="D266" s="26"/>
      <c r="E266" s="26"/>
      <c r="F266" s="27" t="s">
        <v>550</v>
      </c>
      <c r="G266" s="104">
        <v>10</v>
      </c>
      <c r="H266" s="104">
        <v>9.5</v>
      </c>
      <c r="I266" s="128"/>
      <c r="J266" s="104"/>
      <c r="K266" s="104"/>
      <c r="L266" s="104"/>
      <c r="M266" s="104"/>
      <c r="N266" s="86"/>
      <c r="O266" s="127"/>
      <c r="P266" s="105"/>
      <c r="Q266" s="115"/>
      <c r="R266" s="115"/>
      <c r="S266" s="126"/>
    </row>
    <row r="267" spans="3:19" s="15" customFormat="1" ht="57" hidden="1">
      <c r="C267" s="26"/>
      <c r="D267" s="26"/>
      <c r="E267" s="26"/>
      <c r="F267" s="27" t="s">
        <v>88</v>
      </c>
      <c r="G267" s="104"/>
      <c r="H267" s="104"/>
      <c r="I267" s="128" t="e">
        <f t="shared" si="83"/>
        <v>#DIV/0!</v>
      </c>
      <c r="J267" s="104">
        <f t="shared" si="82"/>
        <v>0</v>
      </c>
      <c r="K267" s="104"/>
      <c r="L267" s="104"/>
      <c r="M267" s="104"/>
      <c r="N267" s="86"/>
      <c r="O267" s="127" t="e">
        <f t="shared" si="79"/>
        <v>#DIV/0!</v>
      </c>
      <c r="P267" s="105">
        <f t="shared" si="84"/>
        <v>0</v>
      </c>
      <c r="Q267" s="115">
        <f t="shared" si="85"/>
        <v>0</v>
      </c>
      <c r="R267" s="115">
        <f t="shared" si="86"/>
        <v>0</v>
      </c>
      <c r="S267" s="126" t="e">
        <f t="shared" si="87"/>
        <v>#DIV/0!</v>
      </c>
    </row>
    <row r="268" spans="3:19" s="15" customFormat="1" ht="57" hidden="1">
      <c r="C268" s="26"/>
      <c r="D268" s="26"/>
      <c r="E268" s="26"/>
      <c r="F268" s="27" t="s">
        <v>30</v>
      </c>
      <c r="G268" s="104"/>
      <c r="H268" s="104"/>
      <c r="I268" s="128" t="e">
        <f t="shared" si="83"/>
        <v>#DIV/0!</v>
      </c>
      <c r="J268" s="104">
        <f t="shared" si="82"/>
        <v>0</v>
      </c>
      <c r="K268" s="104"/>
      <c r="L268" s="104"/>
      <c r="M268" s="104"/>
      <c r="N268" s="86"/>
      <c r="O268" s="127" t="e">
        <f t="shared" si="79"/>
        <v>#DIV/0!</v>
      </c>
      <c r="P268" s="105">
        <f t="shared" si="84"/>
        <v>0</v>
      </c>
      <c r="Q268" s="115">
        <f t="shared" si="85"/>
        <v>0</v>
      </c>
      <c r="R268" s="115">
        <f t="shared" si="86"/>
        <v>0</v>
      </c>
      <c r="S268" s="126" t="e">
        <f t="shared" si="87"/>
        <v>#DIV/0!</v>
      </c>
    </row>
    <row r="269" spans="3:19" s="15" customFormat="1" ht="57" hidden="1">
      <c r="C269" s="26"/>
      <c r="D269" s="26"/>
      <c r="E269" s="26"/>
      <c r="F269" s="27" t="s">
        <v>23</v>
      </c>
      <c r="G269" s="104"/>
      <c r="H269" s="104"/>
      <c r="I269" s="128" t="e">
        <f t="shared" si="83"/>
        <v>#DIV/0!</v>
      </c>
      <c r="J269" s="104">
        <f t="shared" si="82"/>
        <v>0</v>
      </c>
      <c r="K269" s="104"/>
      <c r="L269" s="104"/>
      <c r="M269" s="104"/>
      <c r="N269" s="86"/>
      <c r="O269" s="127" t="e">
        <f t="shared" si="79"/>
        <v>#DIV/0!</v>
      </c>
      <c r="P269" s="105">
        <f t="shared" si="84"/>
        <v>0</v>
      </c>
      <c r="Q269" s="115">
        <f t="shared" si="85"/>
        <v>0</v>
      </c>
      <c r="R269" s="115">
        <f t="shared" si="86"/>
        <v>0</v>
      </c>
      <c r="S269" s="126" t="e">
        <f t="shared" si="87"/>
        <v>#DIV/0!</v>
      </c>
    </row>
    <row r="270" spans="3:19" s="15" customFormat="1" ht="38.25" hidden="1">
      <c r="C270" s="26"/>
      <c r="D270" s="26"/>
      <c r="E270" s="26"/>
      <c r="F270" s="27" t="s">
        <v>118</v>
      </c>
      <c r="G270" s="104"/>
      <c r="H270" s="104"/>
      <c r="I270" s="128" t="e">
        <f t="shared" si="83"/>
        <v>#DIV/0!</v>
      </c>
      <c r="J270" s="104">
        <f t="shared" si="82"/>
        <v>0</v>
      </c>
      <c r="K270" s="104"/>
      <c r="L270" s="104"/>
      <c r="M270" s="104"/>
      <c r="N270" s="86"/>
      <c r="O270" s="127" t="e">
        <f t="shared" si="79"/>
        <v>#DIV/0!</v>
      </c>
      <c r="P270" s="105">
        <f t="shared" si="84"/>
        <v>0</v>
      </c>
      <c r="Q270" s="115">
        <f t="shared" si="85"/>
        <v>0</v>
      </c>
      <c r="R270" s="115">
        <f t="shared" si="86"/>
        <v>0</v>
      </c>
      <c r="S270" s="126" t="e">
        <f t="shared" si="87"/>
        <v>#DIV/0!</v>
      </c>
    </row>
    <row r="271" spans="3:19" s="30" customFormat="1" ht="57" hidden="1">
      <c r="C271" s="26"/>
      <c r="D271" s="26"/>
      <c r="E271" s="26"/>
      <c r="F271" s="27" t="s">
        <v>523</v>
      </c>
      <c r="G271" s="104"/>
      <c r="H271" s="104"/>
      <c r="I271" s="128" t="e">
        <f t="shared" si="83"/>
        <v>#DIV/0!</v>
      </c>
      <c r="J271" s="104">
        <f t="shared" si="82"/>
        <v>0</v>
      </c>
      <c r="K271" s="104"/>
      <c r="L271" s="104"/>
      <c r="M271" s="104"/>
      <c r="N271" s="86"/>
      <c r="O271" s="127" t="e">
        <f t="shared" si="79"/>
        <v>#DIV/0!</v>
      </c>
      <c r="P271" s="105">
        <f t="shared" si="84"/>
        <v>0</v>
      </c>
      <c r="Q271" s="115">
        <f t="shared" si="85"/>
        <v>0</v>
      </c>
      <c r="R271" s="115">
        <f t="shared" si="86"/>
        <v>0</v>
      </c>
      <c r="S271" s="126" t="e">
        <f t="shared" si="87"/>
        <v>#DIV/0!</v>
      </c>
    </row>
    <row r="272" spans="3:19" s="30" customFormat="1" ht="22.5" customHeight="1" hidden="1">
      <c r="C272" s="26" t="s">
        <v>511</v>
      </c>
      <c r="D272" s="26" t="s">
        <v>305</v>
      </c>
      <c r="E272" s="26" t="s">
        <v>87</v>
      </c>
      <c r="F272" s="27" t="s">
        <v>306</v>
      </c>
      <c r="G272" s="104">
        <f>G273</f>
        <v>0</v>
      </c>
      <c r="H272" s="104">
        <f>H273</f>
        <v>0</v>
      </c>
      <c r="I272" s="128" t="e">
        <f t="shared" si="83"/>
        <v>#DIV/0!</v>
      </c>
      <c r="J272" s="104">
        <f t="shared" si="82"/>
        <v>0</v>
      </c>
      <c r="K272" s="104">
        <f>K273</f>
        <v>0</v>
      </c>
      <c r="L272" s="104">
        <f>L273</f>
        <v>0</v>
      </c>
      <c r="M272" s="104">
        <f>M273</f>
        <v>0</v>
      </c>
      <c r="N272" s="86">
        <f>N273</f>
        <v>0</v>
      </c>
      <c r="O272" s="127" t="e">
        <f t="shared" si="79"/>
        <v>#DIV/0!</v>
      </c>
      <c r="P272" s="105">
        <f t="shared" si="84"/>
        <v>0</v>
      </c>
      <c r="Q272" s="115">
        <f t="shared" si="85"/>
        <v>0</v>
      </c>
      <c r="R272" s="115">
        <f t="shared" si="86"/>
        <v>0</v>
      </c>
      <c r="S272" s="126" t="e">
        <f t="shared" si="87"/>
        <v>#DIV/0!</v>
      </c>
    </row>
    <row r="273" spans="3:19" s="30" customFormat="1" ht="32.25" customHeight="1" hidden="1">
      <c r="C273" s="26"/>
      <c r="D273" s="26"/>
      <c r="E273" s="26"/>
      <c r="F273" s="27" t="s">
        <v>30</v>
      </c>
      <c r="G273" s="104"/>
      <c r="H273" s="104"/>
      <c r="I273" s="128" t="e">
        <f t="shared" si="83"/>
        <v>#DIV/0!</v>
      </c>
      <c r="J273" s="104">
        <f t="shared" si="82"/>
        <v>0</v>
      </c>
      <c r="K273" s="104"/>
      <c r="L273" s="104"/>
      <c r="M273" s="104"/>
      <c r="N273" s="86"/>
      <c r="O273" s="127" t="e">
        <f t="shared" si="79"/>
        <v>#DIV/0!</v>
      </c>
      <c r="P273" s="105">
        <f t="shared" si="84"/>
        <v>0</v>
      </c>
      <c r="Q273" s="115">
        <f t="shared" si="85"/>
        <v>0</v>
      </c>
      <c r="R273" s="115">
        <f t="shared" si="86"/>
        <v>0</v>
      </c>
      <c r="S273" s="126" t="e">
        <f t="shared" si="87"/>
        <v>#DIV/0!</v>
      </c>
    </row>
    <row r="274" spans="3:19" s="30" customFormat="1" ht="45.75" customHeight="1">
      <c r="C274" s="26" t="s">
        <v>512</v>
      </c>
      <c r="D274" s="26" t="s">
        <v>307</v>
      </c>
      <c r="E274" s="26" t="s">
        <v>87</v>
      </c>
      <c r="F274" s="27" t="s">
        <v>310</v>
      </c>
      <c r="G274" s="104">
        <f>SUM(G275:G276)</f>
        <v>0</v>
      </c>
      <c r="H274" s="104">
        <f aca="true" t="shared" si="88" ref="H274:N274">SUM(H275:H276)</f>
        <v>0</v>
      </c>
      <c r="I274" s="128" t="e">
        <f t="shared" si="83"/>
        <v>#DIV/0!</v>
      </c>
      <c r="J274" s="104">
        <f>J276+J275</f>
        <v>4654.9</v>
      </c>
      <c r="K274" s="104">
        <f t="shared" si="88"/>
        <v>0</v>
      </c>
      <c r="L274" s="104">
        <f t="shared" si="88"/>
        <v>4295.9</v>
      </c>
      <c r="M274" s="104">
        <f t="shared" si="88"/>
        <v>4295.9</v>
      </c>
      <c r="N274" s="12">
        <f t="shared" si="88"/>
        <v>4950.799999999999</v>
      </c>
      <c r="O274" s="127">
        <f t="shared" si="79"/>
        <v>92.2876968355926</v>
      </c>
      <c r="P274" s="105">
        <f t="shared" si="84"/>
        <v>4654.9</v>
      </c>
      <c r="Q274" s="115">
        <f t="shared" si="85"/>
        <v>4295.9</v>
      </c>
      <c r="R274" s="115">
        <f t="shared" si="86"/>
        <v>-359</v>
      </c>
      <c r="S274" s="126">
        <f t="shared" si="87"/>
        <v>92.2876968355926</v>
      </c>
    </row>
    <row r="275" spans="3:19" s="30" customFormat="1" ht="63.75" customHeight="1">
      <c r="C275" s="26"/>
      <c r="D275" s="26"/>
      <c r="E275" s="26"/>
      <c r="F275" s="27" t="s">
        <v>30</v>
      </c>
      <c r="G275" s="104"/>
      <c r="H275" s="104"/>
      <c r="I275" s="128" t="e">
        <f t="shared" si="83"/>
        <v>#DIV/0!</v>
      </c>
      <c r="J275" s="104">
        <v>2848</v>
      </c>
      <c r="K275" s="104"/>
      <c r="L275" s="104">
        <v>2837.2</v>
      </c>
      <c r="M275" s="104">
        <v>2837.2</v>
      </c>
      <c r="N275" s="86">
        <v>3172.2</v>
      </c>
      <c r="O275" s="127">
        <f t="shared" si="79"/>
        <v>99.62078651685393</v>
      </c>
      <c r="P275" s="105">
        <f t="shared" si="84"/>
        <v>2848</v>
      </c>
      <c r="Q275" s="115">
        <f t="shared" si="85"/>
        <v>2837.2</v>
      </c>
      <c r="R275" s="115">
        <f t="shared" si="86"/>
        <v>-10.800000000000182</v>
      </c>
      <c r="S275" s="126">
        <f t="shared" si="87"/>
        <v>99.62078651685393</v>
      </c>
    </row>
    <row r="276" spans="3:19" s="30" customFormat="1" ht="63.75" customHeight="1">
      <c r="C276" s="26"/>
      <c r="D276" s="26"/>
      <c r="E276" s="26"/>
      <c r="F276" s="27" t="s">
        <v>524</v>
      </c>
      <c r="G276" s="104"/>
      <c r="H276" s="104"/>
      <c r="I276" s="128" t="e">
        <f t="shared" si="83"/>
        <v>#DIV/0!</v>
      </c>
      <c r="J276" s="104">
        <v>1806.9</v>
      </c>
      <c r="K276" s="104"/>
      <c r="L276" s="104">
        <v>1458.7</v>
      </c>
      <c r="M276" s="104">
        <v>1458.7</v>
      </c>
      <c r="N276" s="86">
        <f>1908-129.4</f>
        <v>1778.6</v>
      </c>
      <c r="O276" s="127">
        <f t="shared" si="79"/>
        <v>80.72942608888151</v>
      </c>
      <c r="P276" s="105">
        <f t="shared" si="84"/>
        <v>1806.9</v>
      </c>
      <c r="Q276" s="115">
        <f t="shared" si="85"/>
        <v>1458.7</v>
      </c>
      <c r="R276" s="115">
        <f t="shared" si="86"/>
        <v>-348.20000000000005</v>
      </c>
      <c r="S276" s="126">
        <f t="shared" si="87"/>
        <v>80.72942608888151</v>
      </c>
    </row>
    <row r="277" spans="3:19" s="30" customFormat="1" ht="51.75" customHeight="1" hidden="1">
      <c r="C277" s="26" t="s">
        <v>513</v>
      </c>
      <c r="D277" s="26" t="s">
        <v>308</v>
      </c>
      <c r="E277" s="26" t="s">
        <v>87</v>
      </c>
      <c r="F277" s="27" t="s">
        <v>311</v>
      </c>
      <c r="G277" s="104">
        <f>G278</f>
        <v>0</v>
      </c>
      <c r="H277" s="104">
        <f>H278</f>
        <v>0</v>
      </c>
      <c r="I277" s="107" t="e">
        <f t="shared" si="83"/>
        <v>#DIV/0!</v>
      </c>
      <c r="J277" s="104">
        <f aca="true" t="shared" si="89" ref="J277:J294">K277+N277</f>
        <v>0</v>
      </c>
      <c r="K277" s="104">
        <f>K278</f>
        <v>0</v>
      </c>
      <c r="L277" s="104">
        <f>L278</f>
        <v>0</v>
      </c>
      <c r="M277" s="104">
        <f>M278</f>
        <v>0</v>
      </c>
      <c r="N277" s="86">
        <f>N278</f>
        <v>0</v>
      </c>
      <c r="O277" s="127" t="e">
        <f t="shared" si="79"/>
        <v>#DIV/0!</v>
      </c>
      <c r="P277" s="105">
        <f t="shared" si="84"/>
        <v>0</v>
      </c>
      <c r="Q277" s="115">
        <f t="shared" si="85"/>
        <v>0</v>
      </c>
      <c r="R277" s="115">
        <f t="shared" si="86"/>
        <v>0</v>
      </c>
      <c r="S277" s="126" t="e">
        <f t="shared" si="87"/>
        <v>#DIV/0!</v>
      </c>
    </row>
    <row r="278" spans="3:19" s="30" customFormat="1" ht="60" customHeight="1" hidden="1">
      <c r="C278" s="26"/>
      <c r="D278" s="26"/>
      <c r="E278" s="26"/>
      <c r="F278" s="27" t="s">
        <v>312</v>
      </c>
      <c r="G278" s="104"/>
      <c r="H278" s="104"/>
      <c r="I278" s="107" t="e">
        <f t="shared" si="83"/>
        <v>#DIV/0!</v>
      </c>
      <c r="J278" s="104">
        <f t="shared" si="89"/>
        <v>0</v>
      </c>
      <c r="K278" s="104"/>
      <c r="L278" s="104"/>
      <c r="M278" s="104"/>
      <c r="N278" s="86"/>
      <c r="O278" s="127" t="e">
        <f t="shared" si="79"/>
        <v>#DIV/0!</v>
      </c>
      <c r="P278" s="105">
        <f t="shared" si="84"/>
        <v>0</v>
      </c>
      <c r="Q278" s="115">
        <f t="shared" si="85"/>
        <v>0</v>
      </c>
      <c r="R278" s="115">
        <f t="shared" si="86"/>
        <v>0</v>
      </c>
      <c r="S278" s="126" t="e">
        <f t="shared" si="87"/>
        <v>#DIV/0!</v>
      </c>
    </row>
    <row r="279" spans="3:19" s="30" customFormat="1" ht="51" customHeight="1" hidden="1">
      <c r="C279" s="26" t="s">
        <v>514</v>
      </c>
      <c r="D279" s="26" t="s">
        <v>309</v>
      </c>
      <c r="E279" s="26" t="s">
        <v>87</v>
      </c>
      <c r="F279" s="27" t="s">
        <v>313</v>
      </c>
      <c r="G279" s="104"/>
      <c r="H279" s="104"/>
      <c r="I279" s="107" t="e">
        <f t="shared" si="83"/>
        <v>#DIV/0!</v>
      </c>
      <c r="J279" s="104">
        <f t="shared" si="89"/>
        <v>0</v>
      </c>
      <c r="K279" s="104"/>
      <c r="L279" s="104"/>
      <c r="M279" s="104"/>
      <c r="N279" s="86"/>
      <c r="O279" s="127" t="e">
        <f t="shared" si="79"/>
        <v>#DIV/0!</v>
      </c>
      <c r="P279" s="105">
        <f t="shared" si="84"/>
        <v>0</v>
      </c>
      <c r="Q279" s="115">
        <f t="shared" si="85"/>
        <v>0</v>
      </c>
      <c r="R279" s="115">
        <f t="shared" si="86"/>
        <v>0</v>
      </c>
      <c r="S279" s="126" t="e">
        <f t="shared" si="87"/>
        <v>#DIV/0!</v>
      </c>
    </row>
    <row r="280" spans="1:19" s="6" customFormat="1" ht="36" customHeight="1">
      <c r="A280" s="6">
        <v>4</v>
      </c>
      <c r="B280" s="6">
        <v>40</v>
      </c>
      <c r="C280" s="26" t="s">
        <v>482</v>
      </c>
      <c r="D280" s="26" t="s">
        <v>86</v>
      </c>
      <c r="E280" s="26" t="s">
        <v>87</v>
      </c>
      <c r="F280" s="34" t="s">
        <v>303</v>
      </c>
      <c r="G280" s="104">
        <f>SUM(G281:G290)</f>
        <v>18525.3</v>
      </c>
      <c r="H280" s="104">
        <f>SUM(H281:H290)</f>
        <v>14216.399999999998</v>
      </c>
      <c r="I280" s="107">
        <f t="shared" si="83"/>
        <v>76.74045764441061</v>
      </c>
      <c r="J280" s="104">
        <f>J281+J283+J286+J287+J288+J290</f>
        <v>1365.7</v>
      </c>
      <c r="K280" s="104">
        <f>SUM(K281:K290)</f>
        <v>0</v>
      </c>
      <c r="L280" s="104">
        <f>SUM(L281:L290)</f>
        <v>759.6000000000001</v>
      </c>
      <c r="M280" s="104">
        <f>SUM(M281:M290)</f>
        <v>759.6</v>
      </c>
      <c r="N280" s="86">
        <f>SUM(N281:N290)</f>
        <v>569.4</v>
      </c>
      <c r="O280" s="127">
        <f t="shared" si="79"/>
        <v>55.619828659295614</v>
      </c>
      <c r="P280" s="105">
        <f t="shared" si="84"/>
        <v>19891</v>
      </c>
      <c r="Q280" s="115">
        <f t="shared" si="85"/>
        <v>14975.999999999998</v>
      </c>
      <c r="R280" s="115">
        <f t="shared" si="86"/>
        <v>-4915.000000000002</v>
      </c>
      <c r="S280" s="126">
        <f t="shared" si="87"/>
        <v>75.29033231109547</v>
      </c>
    </row>
    <row r="281" spans="3:19" s="15" customFormat="1" ht="63" customHeight="1">
      <c r="C281" s="26"/>
      <c r="D281" s="26"/>
      <c r="E281" s="26"/>
      <c r="F281" s="27" t="s">
        <v>30</v>
      </c>
      <c r="G281" s="104">
        <v>16990.1</v>
      </c>
      <c r="H281" s="104">
        <f>1.8+218.6+12805.3</f>
        <v>13025.699999999999</v>
      </c>
      <c r="I281" s="107">
        <f t="shared" si="83"/>
        <v>76.66641161617648</v>
      </c>
      <c r="J281" s="104">
        <f>870.6+111.8</f>
        <v>982.4</v>
      </c>
      <c r="K281" s="108"/>
      <c r="L281" s="104">
        <f>373.6+111.8</f>
        <v>485.40000000000003</v>
      </c>
      <c r="M281" s="104">
        <v>485.4</v>
      </c>
      <c r="N281" s="86">
        <f>340+129.4</f>
        <v>469.4</v>
      </c>
      <c r="O281" s="127">
        <f t="shared" si="79"/>
        <v>49.409609120521175</v>
      </c>
      <c r="P281" s="105">
        <f t="shared" si="84"/>
        <v>17972.5</v>
      </c>
      <c r="Q281" s="115">
        <f t="shared" si="85"/>
        <v>13511.099999999999</v>
      </c>
      <c r="R281" s="115">
        <f t="shared" si="86"/>
        <v>-4461.4000000000015</v>
      </c>
      <c r="S281" s="126">
        <f t="shared" si="87"/>
        <v>75.17651968284879</v>
      </c>
    </row>
    <row r="282" spans="3:19" s="15" customFormat="1" ht="60.75" customHeight="1" hidden="1">
      <c r="C282" s="26"/>
      <c r="D282" s="26"/>
      <c r="E282" s="26"/>
      <c r="F282" s="34" t="s">
        <v>117</v>
      </c>
      <c r="G282" s="104"/>
      <c r="H282" s="108"/>
      <c r="I282" s="107" t="e">
        <f t="shared" si="83"/>
        <v>#DIV/0!</v>
      </c>
      <c r="J282" s="104">
        <f t="shared" si="89"/>
        <v>0</v>
      </c>
      <c r="K282" s="108"/>
      <c r="L282" s="104"/>
      <c r="M282" s="104"/>
      <c r="N282" s="86"/>
      <c r="O282" s="127" t="e">
        <f t="shared" si="79"/>
        <v>#DIV/0!</v>
      </c>
      <c r="P282" s="105">
        <f t="shared" si="84"/>
        <v>0</v>
      </c>
      <c r="Q282" s="115">
        <f t="shared" si="85"/>
        <v>0</v>
      </c>
      <c r="R282" s="115">
        <f t="shared" si="86"/>
        <v>0</v>
      </c>
      <c r="S282" s="126" t="e">
        <f t="shared" si="87"/>
        <v>#DIV/0!</v>
      </c>
    </row>
    <row r="283" spans="3:19" s="30" customFormat="1" ht="61.5" customHeight="1">
      <c r="C283" s="26"/>
      <c r="D283" s="26"/>
      <c r="E283" s="26"/>
      <c r="F283" s="27" t="s">
        <v>88</v>
      </c>
      <c r="G283" s="104">
        <v>188.9</v>
      </c>
      <c r="H283" s="104">
        <v>146.7</v>
      </c>
      <c r="I283" s="107">
        <f t="shared" si="83"/>
        <v>77.6601376389624</v>
      </c>
      <c r="J283" s="104">
        <v>289</v>
      </c>
      <c r="K283" s="104"/>
      <c r="L283" s="104">
        <v>180</v>
      </c>
      <c r="M283" s="104">
        <v>180</v>
      </c>
      <c r="N283" s="86"/>
      <c r="O283" s="127">
        <f t="shared" si="79"/>
        <v>62.28373702422145</v>
      </c>
      <c r="P283" s="105">
        <f t="shared" si="84"/>
        <v>477.9</v>
      </c>
      <c r="Q283" s="115">
        <f t="shared" si="85"/>
        <v>326.7</v>
      </c>
      <c r="R283" s="115">
        <f t="shared" si="86"/>
        <v>-151.2</v>
      </c>
      <c r="S283" s="126">
        <f t="shared" si="87"/>
        <v>68.36158192090396</v>
      </c>
    </row>
    <row r="284" spans="3:19" s="15" customFormat="1" ht="67.5" customHeight="1" hidden="1">
      <c r="C284" s="26"/>
      <c r="D284" s="26"/>
      <c r="E284" s="26"/>
      <c r="F284" s="34" t="s">
        <v>493</v>
      </c>
      <c r="G284" s="104"/>
      <c r="H284" s="108"/>
      <c r="I284" s="107" t="e">
        <f t="shared" si="83"/>
        <v>#DIV/0!</v>
      </c>
      <c r="J284" s="104">
        <f t="shared" si="89"/>
        <v>0</v>
      </c>
      <c r="K284" s="108"/>
      <c r="L284" s="104"/>
      <c r="M284" s="104"/>
      <c r="N284" s="86"/>
      <c r="O284" s="127" t="e">
        <f t="shared" si="79"/>
        <v>#DIV/0!</v>
      </c>
      <c r="P284" s="105">
        <f t="shared" si="84"/>
        <v>0</v>
      </c>
      <c r="Q284" s="115">
        <f t="shared" si="85"/>
        <v>0</v>
      </c>
      <c r="R284" s="115">
        <f t="shared" si="86"/>
        <v>0</v>
      </c>
      <c r="S284" s="126" t="e">
        <f t="shared" si="87"/>
        <v>#DIV/0!</v>
      </c>
    </row>
    <row r="285" spans="3:19" s="15" customFormat="1" ht="81.75" customHeight="1" hidden="1">
      <c r="C285" s="26"/>
      <c r="D285" s="26"/>
      <c r="E285" s="26"/>
      <c r="F285" s="34" t="s">
        <v>494</v>
      </c>
      <c r="G285" s="104"/>
      <c r="H285" s="108"/>
      <c r="I285" s="107" t="e">
        <f t="shared" si="83"/>
        <v>#DIV/0!</v>
      </c>
      <c r="J285" s="104">
        <f t="shared" si="89"/>
        <v>0</v>
      </c>
      <c r="K285" s="142"/>
      <c r="L285" s="104"/>
      <c r="M285" s="104"/>
      <c r="N285" s="86"/>
      <c r="O285" s="127" t="e">
        <f t="shared" si="79"/>
        <v>#DIV/0!</v>
      </c>
      <c r="P285" s="105">
        <f t="shared" si="84"/>
        <v>0</v>
      </c>
      <c r="Q285" s="115">
        <f t="shared" si="85"/>
        <v>0</v>
      </c>
      <c r="R285" s="115">
        <f t="shared" si="86"/>
        <v>0</v>
      </c>
      <c r="S285" s="126" t="e">
        <f t="shared" si="87"/>
        <v>#DIV/0!</v>
      </c>
    </row>
    <row r="286" spans="3:19" s="30" customFormat="1" ht="44.25" customHeight="1">
      <c r="C286" s="26"/>
      <c r="D286" s="26"/>
      <c r="E286" s="26"/>
      <c r="F286" s="34" t="s">
        <v>550</v>
      </c>
      <c r="G286" s="104">
        <v>55.5</v>
      </c>
      <c r="H286" s="104">
        <v>43</v>
      </c>
      <c r="I286" s="107">
        <f t="shared" si="83"/>
        <v>77.47747747747748</v>
      </c>
      <c r="J286" s="104">
        <f t="shared" si="89"/>
        <v>0</v>
      </c>
      <c r="K286" s="108"/>
      <c r="L286" s="108"/>
      <c r="M286" s="108"/>
      <c r="N286" s="13"/>
      <c r="O286" s="127"/>
      <c r="P286" s="105">
        <f t="shared" si="84"/>
        <v>55.5</v>
      </c>
      <c r="Q286" s="115">
        <f t="shared" si="85"/>
        <v>43</v>
      </c>
      <c r="R286" s="115">
        <f t="shared" si="86"/>
        <v>-12.5</v>
      </c>
      <c r="S286" s="126">
        <f t="shared" si="87"/>
        <v>77.47747747747748</v>
      </c>
    </row>
    <row r="287" spans="3:19" s="30" customFormat="1" ht="69" customHeight="1">
      <c r="C287" s="26"/>
      <c r="D287" s="26"/>
      <c r="E287" s="26"/>
      <c r="F287" s="34" t="s">
        <v>137</v>
      </c>
      <c r="G287" s="104">
        <v>30</v>
      </c>
      <c r="H287" s="104">
        <v>21.3</v>
      </c>
      <c r="I287" s="107">
        <f t="shared" si="83"/>
        <v>71.00000000000001</v>
      </c>
      <c r="J287" s="104">
        <f t="shared" si="89"/>
        <v>0</v>
      </c>
      <c r="K287" s="108"/>
      <c r="L287" s="108"/>
      <c r="M287" s="108"/>
      <c r="N287" s="13"/>
      <c r="O287" s="127"/>
      <c r="P287" s="105">
        <f t="shared" si="84"/>
        <v>30</v>
      </c>
      <c r="Q287" s="115">
        <f t="shared" si="85"/>
        <v>21.3</v>
      </c>
      <c r="R287" s="115">
        <f t="shared" si="86"/>
        <v>-8.7</v>
      </c>
      <c r="S287" s="126">
        <f t="shared" si="87"/>
        <v>71.00000000000001</v>
      </c>
    </row>
    <row r="288" spans="3:19" s="30" customFormat="1" ht="66" customHeight="1">
      <c r="C288" s="26"/>
      <c r="D288" s="26"/>
      <c r="E288" s="26"/>
      <c r="F288" s="34" t="s">
        <v>115</v>
      </c>
      <c r="G288" s="104">
        <v>960.8</v>
      </c>
      <c r="H288" s="104">
        <v>855.3</v>
      </c>
      <c r="I288" s="107">
        <f t="shared" si="83"/>
        <v>89.0195670274771</v>
      </c>
      <c r="J288" s="104">
        <v>94.3</v>
      </c>
      <c r="K288" s="108"/>
      <c r="L288" s="104">
        <v>94.2</v>
      </c>
      <c r="M288" s="104">
        <v>94.2</v>
      </c>
      <c r="N288" s="86">
        <v>100</v>
      </c>
      <c r="O288" s="127">
        <f t="shared" si="79"/>
        <v>99.89395546129374</v>
      </c>
      <c r="P288" s="105">
        <f t="shared" si="84"/>
        <v>1055.1</v>
      </c>
      <c r="Q288" s="115">
        <f t="shared" si="85"/>
        <v>949.5</v>
      </c>
      <c r="R288" s="115">
        <f t="shared" si="86"/>
        <v>-105.59999999999991</v>
      </c>
      <c r="S288" s="126">
        <f t="shared" si="87"/>
        <v>89.99147000284334</v>
      </c>
    </row>
    <row r="289" spans="3:19" s="30" customFormat="1" ht="50.25" customHeight="1" hidden="1">
      <c r="C289" s="26"/>
      <c r="D289" s="26"/>
      <c r="E289" s="26"/>
      <c r="F289" s="148" t="s">
        <v>26</v>
      </c>
      <c r="G289" s="104"/>
      <c r="H289" s="108"/>
      <c r="I289" s="107" t="e">
        <f t="shared" si="83"/>
        <v>#DIV/0!</v>
      </c>
      <c r="J289" s="104">
        <f t="shared" si="89"/>
        <v>0</v>
      </c>
      <c r="K289" s="108"/>
      <c r="L289" s="108"/>
      <c r="M289" s="108"/>
      <c r="N289" s="86"/>
      <c r="O289" s="127" t="e">
        <f t="shared" si="79"/>
        <v>#DIV/0!</v>
      </c>
      <c r="P289" s="105">
        <f t="shared" si="84"/>
        <v>0</v>
      </c>
      <c r="Q289" s="115">
        <f t="shared" si="85"/>
        <v>0</v>
      </c>
      <c r="R289" s="115">
        <f t="shared" si="86"/>
        <v>0</v>
      </c>
      <c r="S289" s="126" t="e">
        <f t="shared" si="87"/>
        <v>#DIV/0!</v>
      </c>
    </row>
    <row r="290" spans="3:19" s="30" customFormat="1" ht="57">
      <c r="C290" s="26"/>
      <c r="D290" s="26"/>
      <c r="E290" s="26"/>
      <c r="F290" s="34" t="s">
        <v>116</v>
      </c>
      <c r="G290" s="104">
        <v>300</v>
      </c>
      <c r="H290" s="104">
        <v>124.4</v>
      </c>
      <c r="I290" s="107">
        <f t="shared" si="83"/>
        <v>41.46666666666667</v>
      </c>
      <c r="J290" s="104">
        <f t="shared" si="89"/>
        <v>0</v>
      </c>
      <c r="K290" s="108"/>
      <c r="L290" s="108"/>
      <c r="M290" s="108"/>
      <c r="N290" s="13"/>
      <c r="O290" s="127"/>
      <c r="P290" s="105">
        <f t="shared" si="84"/>
        <v>300</v>
      </c>
      <c r="Q290" s="115">
        <f t="shared" si="85"/>
        <v>124.4</v>
      </c>
      <c r="R290" s="115">
        <f t="shared" si="86"/>
        <v>-175.6</v>
      </c>
      <c r="S290" s="126">
        <f t="shared" si="87"/>
        <v>41.46666666666667</v>
      </c>
    </row>
    <row r="291" spans="3:19" s="30" customFormat="1" ht="32.25" customHeight="1">
      <c r="C291" s="26" t="s">
        <v>495</v>
      </c>
      <c r="D291" s="26" t="s">
        <v>496</v>
      </c>
      <c r="E291" s="26" t="s">
        <v>87</v>
      </c>
      <c r="F291" s="34" t="s">
        <v>497</v>
      </c>
      <c r="G291" s="104">
        <f>G292</f>
        <v>20</v>
      </c>
      <c r="H291" s="104">
        <f aca="true" t="shared" si="90" ref="H291:N291">H292</f>
        <v>7.4</v>
      </c>
      <c r="I291" s="107">
        <f t="shared" si="83"/>
        <v>37</v>
      </c>
      <c r="J291" s="104">
        <f t="shared" si="89"/>
        <v>0</v>
      </c>
      <c r="K291" s="104">
        <f t="shared" si="90"/>
        <v>0</v>
      </c>
      <c r="L291" s="104">
        <f t="shared" si="90"/>
        <v>0</v>
      </c>
      <c r="M291" s="104">
        <f t="shared" si="90"/>
        <v>0</v>
      </c>
      <c r="N291" s="12">
        <f t="shared" si="90"/>
        <v>0</v>
      </c>
      <c r="O291" s="127"/>
      <c r="P291" s="105">
        <f t="shared" si="84"/>
        <v>20</v>
      </c>
      <c r="Q291" s="115">
        <f t="shared" si="85"/>
        <v>7.4</v>
      </c>
      <c r="R291" s="115">
        <f t="shared" si="86"/>
        <v>-12.6</v>
      </c>
      <c r="S291" s="126">
        <f t="shared" si="87"/>
        <v>37</v>
      </c>
    </row>
    <row r="292" spans="3:19" s="30" customFormat="1" ht="48" customHeight="1">
      <c r="C292" s="26"/>
      <c r="D292" s="26"/>
      <c r="E292" s="26"/>
      <c r="F292" s="34" t="s">
        <v>498</v>
      </c>
      <c r="G292" s="104">
        <f>40-20</f>
        <v>20</v>
      </c>
      <c r="H292" s="104">
        <v>7.4</v>
      </c>
      <c r="I292" s="107">
        <f t="shared" si="83"/>
        <v>37</v>
      </c>
      <c r="J292" s="104">
        <f t="shared" si="89"/>
        <v>0</v>
      </c>
      <c r="K292" s="108"/>
      <c r="L292" s="108"/>
      <c r="M292" s="108"/>
      <c r="N292" s="13"/>
      <c r="O292" s="127"/>
      <c r="P292" s="105">
        <f t="shared" si="84"/>
        <v>20</v>
      </c>
      <c r="Q292" s="115">
        <f t="shared" si="85"/>
        <v>7.4</v>
      </c>
      <c r="R292" s="115">
        <f t="shared" si="86"/>
        <v>-12.6</v>
      </c>
      <c r="S292" s="126">
        <f t="shared" si="87"/>
        <v>37</v>
      </c>
    </row>
    <row r="293" spans="3:19" s="30" customFormat="1" ht="45.75" customHeight="1">
      <c r="C293" s="26" t="s">
        <v>499</v>
      </c>
      <c r="D293" s="26" t="s">
        <v>429</v>
      </c>
      <c r="E293" s="26" t="s">
        <v>128</v>
      </c>
      <c r="F293" s="34" t="s">
        <v>430</v>
      </c>
      <c r="G293" s="104">
        <f>G294</f>
        <v>260</v>
      </c>
      <c r="H293" s="104">
        <f>H294</f>
        <v>259</v>
      </c>
      <c r="I293" s="107">
        <f t="shared" si="83"/>
        <v>99.61538461538461</v>
      </c>
      <c r="J293" s="104">
        <f t="shared" si="89"/>
        <v>0</v>
      </c>
      <c r="K293" s="104">
        <f>K294</f>
        <v>0</v>
      </c>
      <c r="L293" s="104">
        <f>L294</f>
        <v>0</v>
      </c>
      <c r="M293" s="104">
        <f>M294</f>
        <v>0</v>
      </c>
      <c r="N293" s="12">
        <f>N294</f>
        <v>0</v>
      </c>
      <c r="O293" s="127"/>
      <c r="P293" s="105">
        <f t="shared" si="84"/>
        <v>260</v>
      </c>
      <c r="Q293" s="115">
        <f t="shared" si="85"/>
        <v>259</v>
      </c>
      <c r="R293" s="115">
        <f t="shared" si="86"/>
        <v>-1</v>
      </c>
      <c r="S293" s="126">
        <f t="shared" si="87"/>
        <v>99.61538461538461</v>
      </c>
    </row>
    <row r="294" spans="3:19" s="30" customFormat="1" ht="62.25" customHeight="1">
      <c r="C294" s="26"/>
      <c r="D294" s="26"/>
      <c r="E294" s="26"/>
      <c r="F294" s="34" t="s">
        <v>116</v>
      </c>
      <c r="G294" s="104">
        <v>260</v>
      </c>
      <c r="H294" s="104">
        <v>259</v>
      </c>
      <c r="I294" s="107">
        <f t="shared" si="83"/>
        <v>99.61538461538461</v>
      </c>
      <c r="J294" s="104">
        <f t="shared" si="89"/>
        <v>0</v>
      </c>
      <c r="K294" s="108"/>
      <c r="L294" s="108"/>
      <c r="M294" s="108"/>
      <c r="N294" s="13"/>
      <c r="O294" s="127"/>
      <c r="P294" s="105">
        <f t="shared" si="84"/>
        <v>260</v>
      </c>
      <c r="Q294" s="115">
        <f t="shared" si="85"/>
        <v>259</v>
      </c>
      <c r="R294" s="115">
        <f t="shared" si="86"/>
        <v>-1</v>
      </c>
      <c r="S294" s="126">
        <f t="shared" si="87"/>
        <v>99.61538461538461</v>
      </c>
    </row>
    <row r="295" spans="3:19" s="38" customFormat="1" ht="26.25" customHeight="1">
      <c r="C295" s="24"/>
      <c r="D295" s="24"/>
      <c r="E295" s="24"/>
      <c r="F295" s="36" t="s">
        <v>361</v>
      </c>
      <c r="G295" s="105">
        <f>G296+G301+G303+G305+G307+G309+G312+G318+G321+G324</f>
        <v>11594.1</v>
      </c>
      <c r="H295" s="105">
        <f>H296+H301+H303+H305+H307+H309+H312+H318+H321+H324</f>
        <v>9476.4</v>
      </c>
      <c r="I295" s="107">
        <f t="shared" si="83"/>
        <v>81.73467539524412</v>
      </c>
      <c r="J295" s="105">
        <f>J296+J301+J303+J305+J307+J309+J312+J318+J321+J324</f>
        <v>20832.9</v>
      </c>
      <c r="K295" s="105">
        <f>K296+K301+K303+K305+K307+K309+K312+K318+K321+K324</f>
        <v>20</v>
      </c>
      <c r="L295" s="105">
        <f>L296+L301+L303+L305+L307+L309+L312+L318+L321+L324</f>
        <v>12846.899999999998</v>
      </c>
      <c r="M295" s="105">
        <f>M296+M301+M303+M305+M307+M309+M312+M318+M321+M324</f>
        <v>12833.099999999999</v>
      </c>
      <c r="N295" s="49" t="e">
        <f>#REF!+#REF!+#REF!</f>
        <v>#REF!</v>
      </c>
      <c r="O295" s="127">
        <f t="shared" si="79"/>
        <v>61.66640266117533</v>
      </c>
      <c r="P295" s="105">
        <f t="shared" si="84"/>
        <v>32427</v>
      </c>
      <c r="Q295" s="115">
        <f t="shared" si="85"/>
        <v>22323.299999999996</v>
      </c>
      <c r="R295" s="115">
        <f t="shared" si="86"/>
        <v>-10103.700000000004</v>
      </c>
      <c r="S295" s="126">
        <f t="shared" si="87"/>
        <v>68.8417059857526</v>
      </c>
    </row>
    <row r="296" spans="1:19" s="6" customFormat="1" ht="45.75" customHeight="1">
      <c r="A296" s="38">
        <v>8</v>
      </c>
      <c r="B296" s="6">
        <v>41</v>
      </c>
      <c r="C296" s="26" t="s">
        <v>483</v>
      </c>
      <c r="D296" s="26" t="s">
        <v>103</v>
      </c>
      <c r="E296" s="26" t="s">
        <v>173</v>
      </c>
      <c r="F296" s="34" t="s">
        <v>316</v>
      </c>
      <c r="G296" s="104">
        <f>SUM(G297:G300)</f>
        <v>0</v>
      </c>
      <c r="H296" s="104">
        <f>SUM(H297:H300)</f>
        <v>0</v>
      </c>
      <c r="I296" s="128" t="e">
        <f t="shared" si="83"/>
        <v>#DIV/0!</v>
      </c>
      <c r="J296" s="104">
        <f>J297+J298</f>
        <v>12495.3</v>
      </c>
      <c r="K296" s="104">
        <f>K297+K298</f>
        <v>0</v>
      </c>
      <c r="L296" s="104">
        <f>L297+L298</f>
        <v>9539.599999999999</v>
      </c>
      <c r="M296" s="104">
        <f>M297+M298</f>
        <v>9539.599999999999</v>
      </c>
      <c r="N296" s="86">
        <f>SUM(N297:N300)</f>
        <v>9068</v>
      </c>
      <c r="O296" s="127">
        <f t="shared" si="79"/>
        <v>76.34550591022223</v>
      </c>
      <c r="P296" s="105">
        <f t="shared" si="84"/>
        <v>12495.3</v>
      </c>
      <c r="Q296" s="115">
        <f t="shared" si="85"/>
        <v>9539.599999999999</v>
      </c>
      <c r="R296" s="115">
        <f t="shared" si="86"/>
        <v>-2955.7000000000007</v>
      </c>
      <c r="S296" s="126">
        <f t="shared" si="87"/>
        <v>76.34550591022223</v>
      </c>
    </row>
    <row r="297" spans="3:19" s="30" customFormat="1" ht="81.75" customHeight="1">
      <c r="C297" s="26"/>
      <c r="D297" s="26"/>
      <c r="E297" s="26"/>
      <c r="F297" s="34" t="s">
        <v>130</v>
      </c>
      <c r="G297" s="104"/>
      <c r="H297" s="104"/>
      <c r="I297" s="128" t="e">
        <f t="shared" si="83"/>
        <v>#DIV/0!</v>
      </c>
      <c r="J297" s="104">
        <v>11282</v>
      </c>
      <c r="K297" s="104"/>
      <c r="L297" s="104">
        <v>8326.3</v>
      </c>
      <c r="M297" s="104">
        <v>8326.3</v>
      </c>
      <c r="N297" s="86">
        <v>7868</v>
      </c>
      <c r="O297" s="127">
        <f t="shared" si="79"/>
        <v>73.80163091650415</v>
      </c>
      <c r="P297" s="105">
        <f t="shared" si="84"/>
        <v>11282</v>
      </c>
      <c r="Q297" s="115">
        <f t="shared" si="85"/>
        <v>8326.3</v>
      </c>
      <c r="R297" s="115">
        <f t="shared" si="86"/>
        <v>-2955.7000000000007</v>
      </c>
      <c r="S297" s="126">
        <f t="shared" si="87"/>
        <v>73.80163091650415</v>
      </c>
    </row>
    <row r="298" spans="1:19" s="58" customFormat="1" ht="37.5" customHeight="1">
      <c r="A298" s="30"/>
      <c r="B298" s="30"/>
      <c r="C298" s="26"/>
      <c r="D298" s="26"/>
      <c r="E298" s="26"/>
      <c r="F298" s="32" t="s">
        <v>36</v>
      </c>
      <c r="G298" s="104"/>
      <c r="H298" s="104"/>
      <c r="I298" s="128" t="e">
        <f t="shared" si="83"/>
        <v>#DIV/0!</v>
      </c>
      <c r="J298" s="104">
        <v>1213.3</v>
      </c>
      <c r="K298" s="104"/>
      <c r="L298" s="104">
        <v>1213.3</v>
      </c>
      <c r="M298" s="104">
        <v>1213.3</v>
      </c>
      <c r="N298" s="86">
        <v>1200</v>
      </c>
      <c r="O298" s="127">
        <f t="shared" si="79"/>
        <v>100</v>
      </c>
      <c r="P298" s="105">
        <f t="shared" si="84"/>
        <v>1213.3</v>
      </c>
      <c r="Q298" s="115">
        <f t="shared" si="85"/>
        <v>1213.3</v>
      </c>
      <c r="R298" s="115">
        <f t="shared" si="86"/>
        <v>0</v>
      </c>
      <c r="S298" s="126">
        <f t="shared" si="87"/>
        <v>100</v>
      </c>
    </row>
    <row r="299" spans="3:19" s="30" customFormat="1" ht="88.5" customHeight="1" hidden="1">
      <c r="C299" s="26"/>
      <c r="D299" s="26"/>
      <c r="E299" s="26"/>
      <c r="F299" s="34" t="s">
        <v>13</v>
      </c>
      <c r="G299" s="104"/>
      <c r="H299" s="104"/>
      <c r="I299" s="128" t="e">
        <f t="shared" si="83"/>
        <v>#DIV/0!</v>
      </c>
      <c r="J299" s="104">
        <f>K299+N299</f>
        <v>0</v>
      </c>
      <c r="K299" s="104"/>
      <c r="L299" s="104"/>
      <c r="M299" s="104"/>
      <c r="N299" s="86"/>
      <c r="O299" s="127" t="e">
        <f t="shared" si="79"/>
        <v>#DIV/0!</v>
      </c>
      <c r="P299" s="105">
        <f aca="true" t="shared" si="91" ref="P299:P306">G299+J299</f>
        <v>0</v>
      </c>
      <c r="Q299" s="115">
        <f aca="true" t="shared" si="92" ref="Q299:Q306">H299+L299</f>
        <v>0</v>
      </c>
      <c r="R299" s="115">
        <f aca="true" t="shared" si="93" ref="R299:R306">Q299-P299</f>
        <v>0</v>
      </c>
      <c r="S299" s="126" t="e">
        <f aca="true" t="shared" si="94" ref="S299:S306">Q299/P299*100</f>
        <v>#DIV/0!</v>
      </c>
    </row>
    <row r="300" spans="3:19" s="30" customFormat="1" ht="42" customHeight="1" hidden="1">
      <c r="C300" s="26"/>
      <c r="D300" s="26"/>
      <c r="E300" s="26"/>
      <c r="F300" s="34" t="s">
        <v>35</v>
      </c>
      <c r="G300" s="104"/>
      <c r="H300" s="104"/>
      <c r="I300" s="128" t="e">
        <f t="shared" si="83"/>
        <v>#DIV/0!</v>
      </c>
      <c r="J300" s="104">
        <f>K300+N300</f>
        <v>0</v>
      </c>
      <c r="K300" s="104"/>
      <c r="L300" s="104"/>
      <c r="M300" s="104"/>
      <c r="N300" s="86"/>
      <c r="O300" s="127" t="e">
        <f t="shared" si="79"/>
        <v>#DIV/0!</v>
      </c>
      <c r="P300" s="105">
        <f t="shared" si="91"/>
        <v>0</v>
      </c>
      <c r="Q300" s="115">
        <f t="shared" si="92"/>
        <v>0</v>
      </c>
      <c r="R300" s="115">
        <f t="shared" si="93"/>
        <v>0</v>
      </c>
      <c r="S300" s="126" t="e">
        <f t="shared" si="94"/>
        <v>#DIV/0!</v>
      </c>
    </row>
    <row r="301" spans="2:19" s="30" customFormat="1" ht="19.5">
      <c r="B301" s="30">
        <v>73</v>
      </c>
      <c r="C301" s="26" t="s">
        <v>515</v>
      </c>
      <c r="D301" s="26" t="s">
        <v>314</v>
      </c>
      <c r="E301" s="26" t="s">
        <v>173</v>
      </c>
      <c r="F301" s="34" t="s">
        <v>315</v>
      </c>
      <c r="G301" s="104">
        <f>G302</f>
        <v>0</v>
      </c>
      <c r="H301" s="104">
        <f>H302</f>
        <v>0</v>
      </c>
      <c r="I301" s="128" t="e">
        <f t="shared" si="83"/>
        <v>#DIV/0!</v>
      </c>
      <c r="J301" s="104">
        <f>J302</f>
        <v>577.3</v>
      </c>
      <c r="K301" s="104">
        <f>K302</f>
        <v>0</v>
      </c>
      <c r="L301" s="104">
        <f>L302</f>
        <v>196.7</v>
      </c>
      <c r="M301" s="104">
        <f>M302</f>
        <v>196.7</v>
      </c>
      <c r="N301" s="104">
        <f>N302</f>
        <v>0</v>
      </c>
      <c r="O301" s="127">
        <f t="shared" si="79"/>
        <v>34.07240602806167</v>
      </c>
      <c r="P301" s="105">
        <f t="shared" si="91"/>
        <v>577.3</v>
      </c>
      <c r="Q301" s="115">
        <f t="shared" si="92"/>
        <v>196.7</v>
      </c>
      <c r="R301" s="115">
        <f t="shared" si="93"/>
        <v>-380.59999999999997</v>
      </c>
      <c r="S301" s="126">
        <f t="shared" si="94"/>
        <v>34.07240602806167</v>
      </c>
    </row>
    <row r="302" spans="3:19" s="6" customFormat="1" ht="69.75" customHeight="1">
      <c r="C302" s="26"/>
      <c r="D302" s="26"/>
      <c r="E302" s="26"/>
      <c r="F302" s="31" t="s">
        <v>121</v>
      </c>
      <c r="G302" s="108"/>
      <c r="H302" s="108"/>
      <c r="I302" s="128" t="e">
        <f t="shared" si="83"/>
        <v>#DIV/0!</v>
      </c>
      <c r="J302" s="104">
        <v>577.3</v>
      </c>
      <c r="K302" s="108"/>
      <c r="L302" s="108">
        <v>196.7</v>
      </c>
      <c r="M302" s="108">
        <v>196.7</v>
      </c>
      <c r="N302" s="86"/>
      <c r="O302" s="127">
        <f t="shared" si="79"/>
        <v>34.07240602806167</v>
      </c>
      <c r="P302" s="105">
        <f t="shared" si="91"/>
        <v>577.3</v>
      </c>
      <c r="Q302" s="115">
        <f t="shared" si="92"/>
        <v>196.7</v>
      </c>
      <c r="R302" s="115">
        <f t="shared" si="93"/>
        <v>-380.59999999999997</v>
      </c>
      <c r="S302" s="126">
        <f t="shared" si="94"/>
        <v>34.07240602806167</v>
      </c>
    </row>
    <row r="303" spans="3:19" s="6" customFormat="1" ht="19.5">
      <c r="C303" s="26" t="s">
        <v>588</v>
      </c>
      <c r="D303" s="26" t="s">
        <v>587</v>
      </c>
      <c r="E303" s="26" t="s">
        <v>173</v>
      </c>
      <c r="F303" s="34" t="s">
        <v>315</v>
      </c>
      <c r="G303" s="108"/>
      <c r="H303" s="108"/>
      <c r="I303" s="128"/>
      <c r="J303" s="104">
        <f>J304</f>
        <v>217.7</v>
      </c>
      <c r="K303" s="104">
        <f>K304</f>
        <v>0</v>
      </c>
      <c r="L303" s="104">
        <f>L304</f>
        <v>0</v>
      </c>
      <c r="M303" s="104">
        <f>M304</f>
        <v>0</v>
      </c>
      <c r="N303" s="104">
        <f>N304</f>
        <v>0</v>
      </c>
      <c r="O303" s="127">
        <f t="shared" si="79"/>
        <v>0</v>
      </c>
      <c r="P303" s="105">
        <f t="shared" si="91"/>
        <v>217.7</v>
      </c>
      <c r="Q303" s="115">
        <f t="shared" si="92"/>
        <v>0</v>
      </c>
      <c r="R303" s="115">
        <f t="shared" si="93"/>
        <v>-217.7</v>
      </c>
      <c r="S303" s="126">
        <f t="shared" si="94"/>
        <v>0</v>
      </c>
    </row>
    <row r="304" spans="3:19" s="6" customFormat="1" ht="63" customHeight="1">
      <c r="C304" s="26"/>
      <c r="D304" s="26"/>
      <c r="E304" s="26"/>
      <c r="F304" s="31" t="s">
        <v>121</v>
      </c>
      <c r="G304" s="108"/>
      <c r="H304" s="108"/>
      <c r="I304" s="128"/>
      <c r="J304" s="104">
        <v>217.7</v>
      </c>
      <c r="K304" s="108"/>
      <c r="L304" s="108">
        <v>0</v>
      </c>
      <c r="M304" s="108">
        <v>0</v>
      </c>
      <c r="N304" s="86"/>
      <c r="O304" s="127">
        <f t="shared" si="79"/>
        <v>0</v>
      </c>
      <c r="P304" s="105">
        <f t="shared" si="91"/>
        <v>217.7</v>
      </c>
      <c r="Q304" s="115">
        <f t="shared" si="92"/>
        <v>0</v>
      </c>
      <c r="R304" s="115">
        <f t="shared" si="93"/>
        <v>-217.7</v>
      </c>
      <c r="S304" s="126">
        <f t="shared" si="94"/>
        <v>0</v>
      </c>
    </row>
    <row r="305" spans="3:19" s="6" customFormat="1" ht="40.5" customHeight="1">
      <c r="C305" s="26" t="s">
        <v>525</v>
      </c>
      <c r="D305" s="26" t="s">
        <v>526</v>
      </c>
      <c r="E305" s="26" t="s">
        <v>173</v>
      </c>
      <c r="F305" s="34" t="s">
        <v>527</v>
      </c>
      <c r="G305" s="104">
        <f>G306</f>
        <v>0</v>
      </c>
      <c r="H305" s="104">
        <f>H306</f>
        <v>0</v>
      </c>
      <c r="I305" s="128" t="e">
        <f t="shared" si="83"/>
        <v>#DIV/0!</v>
      </c>
      <c r="J305" s="104">
        <f>J306</f>
        <v>1775</v>
      </c>
      <c r="K305" s="104">
        <f>K306</f>
        <v>0</v>
      </c>
      <c r="L305" s="104">
        <f>L306</f>
        <v>523.4</v>
      </c>
      <c r="M305" s="104">
        <f>M306</f>
        <v>523.4</v>
      </c>
      <c r="N305" s="12">
        <f>N306</f>
        <v>2375</v>
      </c>
      <c r="O305" s="127">
        <f t="shared" si="79"/>
        <v>29.48732394366197</v>
      </c>
      <c r="P305" s="105">
        <f t="shared" si="91"/>
        <v>1775</v>
      </c>
      <c r="Q305" s="115">
        <f t="shared" si="92"/>
        <v>523.4</v>
      </c>
      <c r="R305" s="115">
        <f t="shared" si="93"/>
        <v>-1251.6</v>
      </c>
      <c r="S305" s="126">
        <f t="shared" si="94"/>
        <v>29.48732394366197</v>
      </c>
    </row>
    <row r="306" spans="3:19" s="6" customFormat="1" ht="66" customHeight="1">
      <c r="C306" s="26"/>
      <c r="D306" s="26"/>
      <c r="E306" s="26"/>
      <c r="F306" s="34" t="s">
        <v>121</v>
      </c>
      <c r="G306" s="108"/>
      <c r="H306" s="108"/>
      <c r="I306" s="128" t="e">
        <f t="shared" si="83"/>
        <v>#DIV/0!</v>
      </c>
      <c r="J306" s="104">
        <v>1775</v>
      </c>
      <c r="K306" s="108"/>
      <c r="L306" s="108">
        <v>523.4</v>
      </c>
      <c r="M306" s="108">
        <v>523.4</v>
      </c>
      <c r="N306" s="86">
        <v>2375</v>
      </c>
      <c r="O306" s="127">
        <f aca="true" t="shared" si="95" ref="O306:O358">L306/J306*100</f>
        <v>29.48732394366197</v>
      </c>
      <c r="P306" s="105">
        <f t="shared" si="91"/>
        <v>1775</v>
      </c>
      <c r="Q306" s="115">
        <f t="shared" si="92"/>
        <v>523.4</v>
      </c>
      <c r="R306" s="115">
        <f t="shared" si="93"/>
        <v>-1251.6</v>
      </c>
      <c r="S306" s="126">
        <f t="shared" si="94"/>
        <v>29.48732394366197</v>
      </c>
    </row>
    <row r="307" spans="3:19" s="6" customFormat="1" ht="57.75" customHeight="1">
      <c r="C307" s="26" t="s">
        <v>528</v>
      </c>
      <c r="D307" s="26" t="s">
        <v>529</v>
      </c>
      <c r="E307" s="26" t="s">
        <v>49</v>
      </c>
      <c r="F307" s="31" t="s">
        <v>530</v>
      </c>
      <c r="G307" s="104">
        <f>G308</f>
        <v>0</v>
      </c>
      <c r="H307" s="104">
        <f>H308</f>
        <v>0</v>
      </c>
      <c r="I307" s="128" t="e">
        <f t="shared" si="83"/>
        <v>#DIV/0!</v>
      </c>
      <c r="J307" s="104">
        <f>J308</f>
        <v>1879.4</v>
      </c>
      <c r="K307" s="104">
        <f>K308</f>
        <v>0</v>
      </c>
      <c r="L307" s="104">
        <f>L308</f>
        <v>3.2</v>
      </c>
      <c r="M307" s="104">
        <f>M308</f>
        <v>3.2</v>
      </c>
      <c r="N307" s="12">
        <f>N308+N309</f>
        <v>1879.3988</v>
      </c>
      <c r="O307" s="127">
        <f t="shared" si="95"/>
        <v>0.17026710652335852</v>
      </c>
      <c r="P307" s="105">
        <f t="shared" si="84"/>
        <v>1879.4</v>
      </c>
      <c r="Q307" s="115">
        <f t="shared" si="85"/>
        <v>3.2</v>
      </c>
      <c r="R307" s="115">
        <f t="shared" si="86"/>
        <v>-1876.2</v>
      </c>
      <c r="S307" s="126">
        <f t="shared" si="87"/>
        <v>0.17026710652335852</v>
      </c>
    </row>
    <row r="308" spans="3:19" s="30" customFormat="1" ht="78" customHeight="1">
      <c r="C308" s="26"/>
      <c r="D308" s="26"/>
      <c r="E308" s="26"/>
      <c r="F308" s="31" t="s">
        <v>121</v>
      </c>
      <c r="G308" s="108"/>
      <c r="H308" s="108"/>
      <c r="I308" s="128" t="e">
        <f t="shared" si="83"/>
        <v>#DIV/0!</v>
      </c>
      <c r="J308" s="104">
        <v>1879.4</v>
      </c>
      <c r="K308" s="108"/>
      <c r="L308" s="108">
        <v>3.2</v>
      </c>
      <c r="M308" s="108">
        <v>3.2</v>
      </c>
      <c r="N308" s="149">
        <v>1879.3988</v>
      </c>
      <c r="O308" s="127">
        <f t="shared" si="95"/>
        <v>0.17026710652335852</v>
      </c>
      <c r="P308" s="105">
        <f t="shared" si="84"/>
        <v>1879.4</v>
      </c>
      <c r="Q308" s="115">
        <f t="shared" si="85"/>
        <v>3.2</v>
      </c>
      <c r="R308" s="115">
        <f t="shared" si="86"/>
        <v>-1876.2</v>
      </c>
      <c r="S308" s="126">
        <f t="shared" si="87"/>
        <v>0.17026710652335852</v>
      </c>
    </row>
    <row r="309" spans="3:19" s="30" customFormat="1" ht="75.75">
      <c r="C309" s="26" t="s">
        <v>533</v>
      </c>
      <c r="D309" s="26" t="s">
        <v>534</v>
      </c>
      <c r="E309" s="26" t="s">
        <v>49</v>
      </c>
      <c r="F309" s="1" t="s">
        <v>535</v>
      </c>
      <c r="G309" s="104">
        <f>G310+G311</f>
        <v>418.7</v>
      </c>
      <c r="H309" s="104">
        <f aca="true" t="shared" si="96" ref="H309:N309">H310+H311</f>
        <v>276.5</v>
      </c>
      <c r="I309" s="107">
        <f t="shared" si="83"/>
        <v>66.0377358490566</v>
      </c>
      <c r="J309" s="104">
        <f t="shared" si="96"/>
        <v>3868.2</v>
      </c>
      <c r="K309" s="104">
        <f t="shared" si="96"/>
        <v>0</v>
      </c>
      <c r="L309" s="104">
        <f>L310+L311</f>
        <v>2570.2</v>
      </c>
      <c r="M309" s="104">
        <f t="shared" si="96"/>
        <v>2570.2</v>
      </c>
      <c r="N309" s="104">
        <f t="shared" si="96"/>
        <v>0</v>
      </c>
      <c r="O309" s="127">
        <f t="shared" si="95"/>
        <v>66.44434103717491</v>
      </c>
      <c r="P309" s="105">
        <f aca="true" t="shared" si="97" ref="P309:P314">G309+J309</f>
        <v>4286.9</v>
      </c>
      <c r="Q309" s="115">
        <f t="shared" si="85"/>
        <v>2846.7</v>
      </c>
      <c r="R309" s="115">
        <f t="shared" si="86"/>
        <v>-1440.1999999999998</v>
      </c>
      <c r="S309" s="126">
        <f t="shared" si="87"/>
        <v>66.40462805290537</v>
      </c>
    </row>
    <row r="310" spans="3:19" s="30" customFormat="1" ht="75.75">
      <c r="C310" s="26"/>
      <c r="D310" s="26"/>
      <c r="E310" s="26"/>
      <c r="F310" s="1" t="s">
        <v>595</v>
      </c>
      <c r="G310" s="104">
        <v>418.7</v>
      </c>
      <c r="H310" s="104">
        <v>276.5</v>
      </c>
      <c r="I310" s="107">
        <f t="shared" si="83"/>
        <v>66.0377358490566</v>
      </c>
      <c r="J310" s="104">
        <v>3768.2</v>
      </c>
      <c r="K310" s="108"/>
      <c r="L310" s="108">
        <v>2512.2</v>
      </c>
      <c r="M310" s="108">
        <v>2512.2</v>
      </c>
      <c r="N310" s="149"/>
      <c r="O310" s="127">
        <f t="shared" si="95"/>
        <v>66.66843585796933</v>
      </c>
      <c r="P310" s="105">
        <f t="shared" si="97"/>
        <v>4186.9</v>
      </c>
      <c r="Q310" s="115">
        <f>H310+L310</f>
        <v>2788.7</v>
      </c>
      <c r="R310" s="115">
        <f>Q310-P310</f>
        <v>-1398.1999999999998</v>
      </c>
      <c r="S310" s="126">
        <f>Q310/P310*100</f>
        <v>66.60536435071293</v>
      </c>
    </row>
    <row r="311" spans="3:19" s="30" customFormat="1" ht="57">
      <c r="C311" s="26"/>
      <c r="D311" s="26"/>
      <c r="E311" s="26"/>
      <c r="F311" s="1" t="s">
        <v>596</v>
      </c>
      <c r="G311" s="104"/>
      <c r="H311" s="104"/>
      <c r="I311" s="107"/>
      <c r="J311" s="104">
        <v>100</v>
      </c>
      <c r="K311" s="108"/>
      <c r="L311" s="108">
        <v>58</v>
      </c>
      <c r="M311" s="108">
        <v>58</v>
      </c>
      <c r="N311" s="149"/>
      <c r="O311" s="127">
        <f t="shared" si="95"/>
        <v>57.99999999999999</v>
      </c>
      <c r="P311" s="105">
        <f t="shared" si="97"/>
        <v>100</v>
      </c>
      <c r="Q311" s="115">
        <f>H311+L311</f>
        <v>58</v>
      </c>
      <c r="R311" s="115">
        <f>Q311-P311</f>
        <v>-42</v>
      </c>
      <c r="S311" s="126">
        <f>Q311/P311*100</f>
        <v>57.99999999999999</v>
      </c>
    </row>
    <row r="312" spans="1:19" s="6" customFormat="1" ht="48.75" customHeight="1">
      <c r="A312" s="38">
        <v>6</v>
      </c>
      <c r="B312" s="6">
        <v>43</v>
      </c>
      <c r="C312" s="26" t="s">
        <v>516</v>
      </c>
      <c r="D312" s="26" t="s">
        <v>422</v>
      </c>
      <c r="E312" s="26" t="s">
        <v>49</v>
      </c>
      <c r="F312" s="33" t="s">
        <v>317</v>
      </c>
      <c r="G312" s="110">
        <f aca="true" t="shared" si="98" ref="G312:N312">SUM(G313:G317)</f>
        <v>302.1</v>
      </c>
      <c r="H312" s="110">
        <f t="shared" si="98"/>
        <v>66.7</v>
      </c>
      <c r="I312" s="107">
        <f t="shared" si="83"/>
        <v>22.078781860311157</v>
      </c>
      <c r="J312" s="104">
        <f aca="true" t="shared" si="99" ref="J312:J317">K312+N312</f>
        <v>0</v>
      </c>
      <c r="K312" s="110">
        <f t="shared" si="98"/>
        <v>0</v>
      </c>
      <c r="L312" s="110">
        <f t="shared" si="98"/>
        <v>0</v>
      </c>
      <c r="M312" s="110">
        <f t="shared" si="98"/>
        <v>0</v>
      </c>
      <c r="N312" s="91">
        <f t="shared" si="98"/>
        <v>0</v>
      </c>
      <c r="O312" s="127"/>
      <c r="P312" s="105">
        <f t="shared" si="97"/>
        <v>302.1</v>
      </c>
      <c r="Q312" s="115">
        <f>H312+L312</f>
        <v>66.7</v>
      </c>
      <c r="R312" s="115">
        <f>Q312-P312</f>
        <v>-235.40000000000003</v>
      </c>
      <c r="S312" s="126">
        <f>Q312/P312*100</f>
        <v>22.078781860311157</v>
      </c>
    </row>
    <row r="313" spans="3:19" s="30" customFormat="1" ht="64.5" customHeight="1">
      <c r="C313" s="26"/>
      <c r="D313" s="26"/>
      <c r="E313" s="26"/>
      <c r="F313" s="33" t="s">
        <v>119</v>
      </c>
      <c r="G313" s="104">
        <v>288</v>
      </c>
      <c r="H313" s="104">
        <v>59.7</v>
      </c>
      <c r="I313" s="107">
        <f t="shared" si="83"/>
        <v>20.729166666666668</v>
      </c>
      <c r="J313" s="104">
        <f t="shared" si="99"/>
        <v>0</v>
      </c>
      <c r="K313" s="112"/>
      <c r="L313" s="104"/>
      <c r="M313" s="104"/>
      <c r="N313" s="86"/>
      <c r="O313" s="127"/>
      <c r="P313" s="105">
        <f t="shared" si="97"/>
        <v>288</v>
      </c>
      <c r="Q313" s="115">
        <f>H313+L313</f>
        <v>59.7</v>
      </c>
      <c r="R313" s="115">
        <f>Q313-P313</f>
        <v>-228.3</v>
      </c>
      <c r="S313" s="126">
        <f>Q313/P313*100</f>
        <v>20.729166666666668</v>
      </c>
    </row>
    <row r="314" spans="3:19" s="30" customFormat="1" ht="56.25" customHeight="1" hidden="1">
      <c r="C314" s="26"/>
      <c r="D314" s="26"/>
      <c r="E314" s="26"/>
      <c r="F314" s="33" t="s">
        <v>120</v>
      </c>
      <c r="G314" s="104"/>
      <c r="H314" s="104"/>
      <c r="I314" s="107" t="e">
        <f t="shared" si="83"/>
        <v>#DIV/0!</v>
      </c>
      <c r="J314" s="104">
        <f t="shared" si="99"/>
        <v>0</v>
      </c>
      <c r="K314" s="104"/>
      <c r="L314" s="104"/>
      <c r="M314" s="104"/>
      <c r="N314" s="86"/>
      <c r="O314" s="127"/>
      <c r="P314" s="105">
        <f t="shared" si="97"/>
        <v>0</v>
      </c>
      <c r="Q314" s="115">
        <f>H314+L314</f>
        <v>0</v>
      </c>
      <c r="R314" s="115">
        <f>Q314-P314</f>
        <v>0</v>
      </c>
      <c r="S314" s="126" t="e">
        <f>Q314/P314*100</f>
        <v>#DIV/0!</v>
      </c>
    </row>
    <row r="315" spans="3:19" s="30" customFormat="1" ht="62.25" customHeight="1">
      <c r="C315" s="26"/>
      <c r="D315" s="26"/>
      <c r="E315" s="26"/>
      <c r="F315" s="33" t="s">
        <v>32</v>
      </c>
      <c r="G315" s="104">
        <v>12.6</v>
      </c>
      <c r="H315" s="104">
        <v>7</v>
      </c>
      <c r="I315" s="107">
        <f t="shared" si="83"/>
        <v>55.55555555555556</v>
      </c>
      <c r="J315" s="104">
        <f t="shared" si="99"/>
        <v>0</v>
      </c>
      <c r="K315" s="104"/>
      <c r="L315" s="104"/>
      <c r="M315" s="104"/>
      <c r="N315" s="86"/>
      <c r="O315" s="127"/>
      <c r="P315" s="105">
        <f t="shared" si="84"/>
        <v>12.6</v>
      </c>
      <c r="Q315" s="115">
        <f t="shared" si="85"/>
        <v>7</v>
      </c>
      <c r="R315" s="115">
        <f t="shared" si="86"/>
        <v>-5.6</v>
      </c>
      <c r="S315" s="126">
        <f t="shared" si="87"/>
        <v>55.55555555555556</v>
      </c>
    </row>
    <row r="316" spans="3:19" s="30" customFormat="1" ht="60" customHeight="1">
      <c r="C316" s="26"/>
      <c r="D316" s="26"/>
      <c r="E316" s="26"/>
      <c r="F316" s="33" t="s">
        <v>536</v>
      </c>
      <c r="G316" s="104">
        <v>1.5</v>
      </c>
      <c r="H316" s="104"/>
      <c r="I316" s="107">
        <f t="shared" si="83"/>
        <v>0</v>
      </c>
      <c r="J316" s="104">
        <f t="shared" si="99"/>
        <v>0</v>
      </c>
      <c r="K316" s="104"/>
      <c r="L316" s="104"/>
      <c r="M316" s="104"/>
      <c r="N316" s="86"/>
      <c r="O316" s="127"/>
      <c r="P316" s="105">
        <f t="shared" si="84"/>
        <v>1.5</v>
      </c>
      <c r="Q316" s="115">
        <f t="shared" si="85"/>
        <v>0</v>
      </c>
      <c r="R316" s="115">
        <f t="shared" si="86"/>
        <v>-1.5</v>
      </c>
      <c r="S316" s="126">
        <f t="shared" si="87"/>
        <v>0</v>
      </c>
    </row>
    <row r="317" spans="3:19" s="6" customFormat="1" ht="64.5" customHeight="1" hidden="1">
      <c r="C317" s="26"/>
      <c r="D317" s="26"/>
      <c r="E317" s="26"/>
      <c r="F317" s="33" t="s">
        <v>116</v>
      </c>
      <c r="G317" s="104"/>
      <c r="H317" s="104"/>
      <c r="I317" s="128" t="e">
        <f t="shared" si="83"/>
        <v>#DIV/0!</v>
      </c>
      <c r="J317" s="104">
        <f t="shared" si="99"/>
        <v>0</v>
      </c>
      <c r="K317" s="112"/>
      <c r="L317" s="104"/>
      <c r="M317" s="104"/>
      <c r="N317" s="86"/>
      <c r="O317" s="127"/>
      <c r="P317" s="105">
        <f t="shared" si="84"/>
        <v>0</v>
      </c>
      <c r="Q317" s="115">
        <f t="shared" si="85"/>
        <v>0</v>
      </c>
      <c r="R317" s="115">
        <f t="shared" si="86"/>
        <v>0</v>
      </c>
      <c r="S317" s="126" t="e">
        <f t="shared" si="87"/>
        <v>#DIV/0!</v>
      </c>
    </row>
    <row r="318" spans="1:19" s="6" customFormat="1" ht="41.25" customHeight="1">
      <c r="A318" s="38"/>
      <c r="C318" s="26" t="s">
        <v>517</v>
      </c>
      <c r="D318" s="26" t="s">
        <v>424</v>
      </c>
      <c r="E318" s="26" t="s">
        <v>89</v>
      </c>
      <c r="F318" s="34" t="s">
        <v>423</v>
      </c>
      <c r="G318" s="104">
        <f>SUM(G319:G320)</f>
        <v>1479.1</v>
      </c>
      <c r="H318" s="104">
        <f aca="true" t="shared" si="100" ref="H318:N318">SUM(H319:H320)</f>
        <v>1275</v>
      </c>
      <c r="I318" s="107">
        <f t="shared" si="83"/>
        <v>86.20106821715909</v>
      </c>
      <c r="J318" s="104">
        <f aca="true" t="shared" si="101" ref="J318:J325">K318+N318</f>
        <v>0</v>
      </c>
      <c r="K318" s="104">
        <f t="shared" si="100"/>
        <v>0</v>
      </c>
      <c r="L318" s="104">
        <f t="shared" si="100"/>
        <v>0</v>
      </c>
      <c r="M318" s="104">
        <f t="shared" si="100"/>
        <v>0</v>
      </c>
      <c r="N318" s="86">
        <f t="shared" si="100"/>
        <v>0</v>
      </c>
      <c r="O318" s="127"/>
      <c r="P318" s="105">
        <f t="shared" si="84"/>
        <v>1479.1</v>
      </c>
      <c r="Q318" s="115">
        <f t="shared" si="85"/>
        <v>1275</v>
      </c>
      <c r="R318" s="115">
        <f t="shared" si="86"/>
        <v>-204.0999999999999</v>
      </c>
      <c r="S318" s="126">
        <f t="shared" si="87"/>
        <v>86.20106821715909</v>
      </c>
    </row>
    <row r="319" spans="1:19" s="30" customFormat="1" ht="45" customHeight="1">
      <c r="A319" s="55"/>
      <c r="C319" s="26"/>
      <c r="D319" s="26"/>
      <c r="E319" s="26"/>
      <c r="F319" s="34" t="s">
        <v>565</v>
      </c>
      <c r="G319" s="104">
        <v>1479.1</v>
      </c>
      <c r="H319" s="104">
        <v>1275</v>
      </c>
      <c r="I319" s="107">
        <f t="shared" si="83"/>
        <v>86.20106821715909</v>
      </c>
      <c r="J319" s="104">
        <f t="shared" si="101"/>
        <v>0</v>
      </c>
      <c r="K319" s="104"/>
      <c r="L319" s="104"/>
      <c r="M319" s="104"/>
      <c r="N319" s="86"/>
      <c r="O319" s="127"/>
      <c r="P319" s="105">
        <f t="shared" si="84"/>
        <v>1479.1</v>
      </c>
      <c r="Q319" s="115">
        <f t="shared" si="85"/>
        <v>1275</v>
      </c>
      <c r="R319" s="115">
        <f t="shared" si="86"/>
        <v>-204.0999999999999</v>
      </c>
      <c r="S319" s="126">
        <f t="shared" si="87"/>
        <v>86.20106821715909</v>
      </c>
    </row>
    <row r="320" spans="1:19" s="30" customFormat="1" ht="58.5" customHeight="1" hidden="1">
      <c r="A320" s="55"/>
      <c r="C320" s="26"/>
      <c r="D320" s="26"/>
      <c r="E320" s="26"/>
      <c r="F320" s="34" t="s">
        <v>24</v>
      </c>
      <c r="G320" s="104"/>
      <c r="H320" s="104"/>
      <c r="I320" s="107" t="e">
        <f t="shared" si="83"/>
        <v>#DIV/0!</v>
      </c>
      <c r="J320" s="104">
        <f t="shared" si="101"/>
        <v>0</v>
      </c>
      <c r="K320" s="104"/>
      <c r="L320" s="104"/>
      <c r="M320" s="104"/>
      <c r="N320" s="86"/>
      <c r="O320" s="127" t="e">
        <f t="shared" si="95"/>
        <v>#DIV/0!</v>
      </c>
      <c r="P320" s="105">
        <f t="shared" si="84"/>
        <v>0</v>
      </c>
      <c r="Q320" s="115">
        <f t="shared" si="85"/>
        <v>0</v>
      </c>
      <c r="R320" s="115">
        <f t="shared" si="86"/>
        <v>0</v>
      </c>
      <c r="S320" s="126" t="e">
        <f t="shared" si="87"/>
        <v>#DIV/0!</v>
      </c>
    </row>
    <row r="321" spans="3:19" s="30" customFormat="1" ht="141.75" customHeight="1">
      <c r="C321" s="26" t="s">
        <v>425</v>
      </c>
      <c r="D321" s="26" t="s">
        <v>415</v>
      </c>
      <c r="E321" s="26" t="s">
        <v>49</v>
      </c>
      <c r="F321" s="27" t="s">
        <v>416</v>
      </c>
      <c r="G321" s="104">
        <f>G322+G323</f>
        <v>0</v>
      </c>
      <c r="H321" s="104">
        <f>H322+H323</f>
        <v>0</v>
      </c>
      <c r="I321" s="128" t="e">
        <f t="shared" si="83"/>
        <v>#DIV/0!</v>
      </c>
      <c r="J321" s="104">
        <f t="shared" si="101"/>
        <v>20</v>
      </c>
      <c r="K321" s="104">
        <f>K322+K323</f>
        <v>20</v>
      </c>
      <c r="L321" s="104">
        <f>L322+L323</f>
        <v>13.8</v>
      </c>
      <c r="M321" s="104">
        <f>M322+M323</f>
        <v>0</v>
      </c>
      <c r="N321" s="12">
        <f>N322+N323</f>
        <v>0</v>
      </c>
      <c r="O321" s="127">
        <f t="shared" si="95"/>
        <v>69</v>
      </c>
      <c r="P321" s="105">
        <f t="shared" si="84"/>
        <v>20</v>
      </c>
      <c r="Q321" s="115">
        <f t="shared" si="85"/>
        <v>13.8</v>
      </c>
      <c r="R321" s="115">
        <f t="shared" si="86"/>
        <v>-6.199999999999999</v>
      </c>
      <c r="S321" s="126">
        <f t="shared" si="87"/>
        <v>69</v>
      </c>
    </row>
    <row r="322" spans="3:19" s="6" customFormat="1" ht="63.75" customHeight="1" hidden="1">
      <c r="C322" s="26"/>
      <c r="D322" s="26"/>
      <c r="E322" s="26"/>
      <c r="F322" s="27" t="s">
        <v>114</v>
      </c>
      <c r="G322" s="104"/>
      <c r="H322" s="104"/>
      <c r="I322" s="128" t="e">
        <f t="shared" si="83"/>
        <v>#DIV/0!</v>
      </c>
      <c r="J322" s="104">
        <f t="shared" si="101"/>
        <v>0</v>
      </c>
      <c r="K322" s="104"/>
      <c r="L322" s="104"/>
      <c r="M322" s="104"/>
      <c r="N322" s="86"/>
      <c r="O322" s="127" t="e">
        <f t="shared" si="95"/>
        <v>#DIV/0!</v>
      </c>
      <c r="P322" s="105">
        <f t="shared" si="84"/>
        <v>0</v>
      </c>
      <c r="Q322" s="115">
        <f t="shared" si="85"/>
        <v>0</v>
      </c>
      <c r="R322" s="115">
        <f t="shared" si="86"/>
        <v>0</v>
      </c>
      <c r="S322" s="126" t="e">
        <f t="shared" si="87"/>
        <v>#DIV/0!</v>
      </c>
    </row>
    <row r="323" spans="3:19" s="6" customFormat="1" ht="43.5" customHeight="1">
      <c r="C323" s="26"/>
      <c r="D323" s="26"/>
      <c r="E323" s="26"/>
      <c r="F323" s="27" t="s">
        <v>118</v>
      </c>
      <c r="G323" s="104"/>
      <c r="H323" s="104"/>
      <c r="I323" s="128" t="e">
        <f t="shared" si="83"/>
        <v>#DIV/0!</v>
      </c>
      <c r="J323" s="104">
        <f t="shared" si="101"/>
        <v>20</v>
      </c>
      <c r="K323" s="104">
        <v>20</v>
      </c>
      <c r="L323" s="104">
        <v>13.8</v>
      </c>
      <c r="M323" s="104"/>
      <c r="N323" s="86"/>
      <c r="O323" s="127">
        <f t="shared" si="95"/>
        <v>69</v>
      </c>
      <c r="P323" s="105">
        <f t="shared" si="84"/>
        <v>20</v>
      </c>
      <c r="Q323" s="115">
        <f t="shared" si="85"/>
        <v>13.8</v>
      </c>
      <c r="R323" s="115">
        <f t="shared" si="86"/>
        <v>-6.199999999999999</v>
      </c>
      <c r="S323" s="126">
        <f t="shared" si="87"/>
        <v>69</v>
      </c>
    </row>
    <row r="324" spans="3:19" s="30" customFormat="1" ht="29.25" customHeight="1">
      <c r="C324" s="26" t="s">
        <v>441</v>
      </c>
      <c r="D324" s="26" t="s">
        <v>426</v>
      </c>
      <c r="E324" s="26" t="s">
        <v>49</v>
      </c>
      <c r="F324" s="27" t="s">
        <v>427</v>
      </c>
      <c r="G324" s="104">
        <f>G325</f>
        <v>9394.2</v>
      </c>
      <c r="H324" s="104">
        <f aca="true" t="shared" si="102" ref="H324:N324">H325</f>
        <v>7858.2</v>
      </c>
      <c r="I324" s="107">
        <f t="shared" si="83"/>
        <v>83.6494858529731</v>
      </c>
      <c r="J324" s="104">
        <f t="shared" si="101"/>
        <v>0</v>
      </c>
      <c r="K324" s="104">
        <f t="shared" si="102"/>
        <v>0</v>
      </c>
      <c r="L324" s="104">
        <f t="shared" si="102"/>
        <v>0</v>
      </c>
      <c r="M324" s="104">
        <f t="shared" si="102"/>
        <v>0</v>
      </c>
      <c r="N324" s="86">
        <f t="shared" si="102"/>
        <v>0</v>
      </c>
      <c r="O324" s="127"/>
      <c r="P324" s="105">
        <f t="shared" si="84"/>
        <v>9394.2</v>
      </c>
      <c r="Q324" s="115">
        <f t="shared" si="85"/>
        <v>7858.2</v>
      </c>
      <c r="R324" s="115">
        <f t="shared" si="86"/>
        <v>-1536.000000000001</v>
      </c>
      <c r="S324" s="126">
        <f t="shared" si="87"/>
        <v>83.6494858529731</v>
      </c>
    </row>
    <row r="325" spans="3:19" s="30" customFormat="1" ht="63.75" customHeight="1">
      <c r="C325" s="26"/>
      <c r="D325" s="26"/>
      <c r="E325" s="26"/>
      <c r="F325" s="27" t="s">
        <v>114</v>
      </c>
      <c r="G325" s="104">
        <v>9394.2</v>
      </c>
      <c r="H325" s="104">
        <v>7858.2</v>
      </c>
      <c r="I325" s="107">
        <f t="shared" si="83"/>
        <v>83.6494858529731</v>
      </c>
      <c r="J325" s="104">
        <f t="shared" si="101"/>
        <v>0</v>
      </c>
      <c r="K325" s="104"/>
      <c r="L325" s="104"/>
      <c r="M325" s="104"/>
      <c r="N325" s="86"/>
      <c r="O325" s="127"/>
      <c r="P325" s="105">
        <f t="shared" si="84"/>
        <v>9394.2</v>
      </c>
      <c r="Q325" s="115">
        <f t="shared" si="85"/>
        <v>7858.2</v>
      </c>
      <c r="R325" s="115">
        <f t="shared" si="86"/>
        <v>-1536.000000000001</v>
      </c>
      <c r="S325" s="126">
        <f t="shared" si="87"/>
        <v>83.6494858529731</v>
      </c>
    </row>
    <row r="326" spans="3:19" s="38" customFormat="1" ht="29.25" customHeight="1">
      <c r="C326" s="24"/>
      <c r="D326" s="24"/>
      <c r="E326" s="24"/>
      <c r="F326" s="25" t="s">
        <v>325</v>
      </c>
      <c r="G326" s="105">
        <f>G327</f>
        <v>0</v>
      </c>
      <c r="H326" s="105">
        <f>H327</f>
        <v>0</v>
      </c>
      <c r="I326" s="128" t="e">
        <f aca="true" t="shared" si="103" ref="I326:I381">H326/G326*100</f>
        <v>#DIV/0!</v>
      </c>
      <c r="J326" s="105">
        <f>J327</f>
        <v>4.5</v>
      </c>
      <c r="K326" s="105">
        <f>K327</f>
        <v>4.525</v>
      </c>
      <c r="L326" s="105">
        <f>L327</f>
        <v>0</v>
      </c>
      <c r="M326" s="105">
        <f>M327</f>
        <v>0</v>
      </c>
      <c r="N326" s="88" t="e">
        <f>#REF!</f>
        <v>#REF!</v>
      </c>
      <c r="O326" s="127">
        <f t="shared" si="95"/>
        <v>0</v>
      </c>
      <c r="P326" s="105">
        <f aca="true" t="shared" si="104" ref="P326:P381">G326+J326</f>
        <v>4.5</v>
      </c>
      <c r="Q326" s="115">
        <f aca="true" t="shared" si="105" ref="Q326:Q381">H326+L326</f>
        <v>0</v>
      </c>
      <c r="R326" s="115">
        <f aca="true" t="shared" si="106" ref="R326:R381">Q326-P326</f>
        <v>-4.5</v>
      </c>
      <c r="S326" s="126">
        <f aca="true" t="shared" si="107" ref="S326:S381">Q326/P326*100</f>
        <v>0</v>
      </c>
    </row>
    <row r="327" spans="3:19" s="6" customFormat="1" ht="25.5" customHeight="1">
      <c r="C327" s="26" t="s">
        <v>500</v>
      </c>
      <c r="D327" s="26" t="s">
        <v>469</v>
      </c>
      <c r="E327" s="26" t="s">
        <v>470</v>
      </c>
      <c r="F327" s="33" t="s">
        <v>501</v>
      </c>
      <c r="G327" s="104">
        <f>SUM(G328)</f>
        <v>0</v>
      </c>
      <c r="H327" s="104">
        <f>SUM(H328)</f>
        <v>0</v>
      </c>
      <c r="I327" s="128" t="e">
        <f t="shared" si="103"/>
        <v>#DIV/0!</v>
      </c>
      <c r="J327" s="104">
        <f>SUM(J328)</f>
        <v>4.5</v>
      </c>
      <c r="K327" s="104">
        <f>SUM(K328)</f>
        <v>4.525</v>
      </c>
      <c r="L327" s="104"/>
      <c r="M327" s="104"/>
      <c r="N327" s="86"/>
      <c r="O327" s="127">
        <f t="shared" si="95"/>
        <v>0</v>
      </c>
      <c r="P327" s="105">
        <f t="shared" si="104"/>
        <v>4.5</v>
      </c>
      <c r="Q327" s="115">
        <f t="shared" si="105"/>
        <v>0</v>
      </c>
      <c r="R327" s="115">
        <f t="shared" si="106"/>
        <v>-4.5</v>
      </c>
      <c r="S327" s="126">
        <f t="shared" si="107"/>
        <v>0</v>
      </c>
    </row>
    <row r="328" spans="3:19" s="30" customFormat="1" ht="59.25" customHeight="1">
      <c r="C328" s="26"/>
      <c r="D328" s="26"/>
      <c r="E328" s="26"/>
      <c r="F328" s="33" t="s">
        <v>119</v>
      </c>
      <c r="G328" s="104"/>
      <c r="H328" s="104"/>
      <c r="I328" s="128" t="e">
        <f t="shared" si="103"/>
        <v>#DIV/0!</v>
      </c>
      <c r="J328" s="104">
        <v>4.5</v>
      </c>
      <c r="K328" s="104">
        <v>4.525</v>
      </c>
      <c r="L328" s="104">
        <v>0</v>
      </c>
      <c r="M328" s="104"/>
      <c r="N328" s="86"/>
      <c r="O328" s="127">
        <f t="shared" si="95"/>
        <v>0</v>
      </c>
      <c r="P328" s="105">
        <f t="shared" si="104"/>
        <v>4.5</v>
      </c>
      <c r="Q328" s="115">
        <f t="shared" si="105"/>
        <v>0</v>
      </c>
      <c r="R328" s="115">
        <f t="shared" si="106"/>
        <v>-4.5</v>
      </c>
      <c r="S328" s="126">
        <f t="shared" si="107"/>
        <v>0</v>
      </c>
    </row>
    <row r="329" spans="3:19" s="38" customFormat="1" ht="36" customHeight="1" hidden="1">
      <c r="C329" s="24" t="s">
        <v>332</v>
      </c>
      <c r="D329" s="24" t="s">
        <v>326</v>
      </c>
      <c r="E329" s="24"/>
      <c r="F329" s="25" t="s">
        <v>327</v>
      </c>
      <c r="G329" s="105">
        <f>G330</f>
        <v>0</v>
      </c>
      <c r="H329" s="105">
        <f aca="true" t="shared" si="108" ref="H329:N330">H330</f>
        <v>0</v>
      </c>
      <c r="I329" s="107" t="e">
        <f t="shared" si="103"/>
        <v>#DIV/0!</v>
      </c>
      <c r="J329" s="105">
        <f>J330</f>
        <v>0</v>
      </c>
      <c r="K329" s="105">
        <f t="shared" si="108"/>
        <v>0</v>
      </c>
      <c r="L329" s="105">
        <f t="shared" si="108"/>
        <v>0</v>
      </c>
      <c r="M329" s="105">
        <f t="shared" si="108"/>
        <v>0</v>
      </c>
      <c r="N329" s="88">
        <f t="shared" si="108"/>
        <v>0</v>
      </c>
      <c r="O329" s="127" t="e">
        <f t="shared" si="95"/>
        <v>#DIV/0!</v>
      </c>
      <c r="P329" s="105">
        <f t="shared" si="104"/>
        <v>0</v>
      </c>
      <c r="Q329" s="115">
        <f t="shared" si="105"/>
        <v>0</v>
      </c>
      <c r="R329" s="115">
        <f t="shared" si="106"/>
        <v>0</v>
      </c>
      <c r="S329" s="126" t="e">
        <f t="shared" si="107"/>
        <v>#DIV/0!</v>
      </c>
    </row>
    <row r="330" spans="3:19" s="6" customFormat="1" ht="71.25" customHeight="1" hidden="1">
      <c r="C330" s="26" t="s">
        <v>328</v>
      </c>
      <c r="D330" s="26" t="s">
        <v>329</v>
      </c>
      <c r="E330" s="26" t="s">
        <v>46</v>
      </c>
      <c r="F330" s="27" t="s">
        <v>330</v>
      </c>
      <c r="G330" s="104">
        <f>G331</f>
        <v>0</v>
      </c>
      <c r="H330" s="104">
        <f t="shared" si="108"/>
        <v>0</v>
      </c>
      <c r="I330" s="107" t="e">
        <f t="shared" si="103"/>
        <v>#DIV/0!</v>
      </c>
      <c r="J330" s="104">
        <f>J331</f>
        <v>0</v>
      </c>
      <c r="K330" s="104">
        <f t="shared" si="108"/>
        <v>0</v>
      </c>
      <c r="L330" s="104">
        <f t="shared" si="108"/>
        <v>0</v>
      </c>
      <c r="M330" s="104">
        <f t="shared" si="108"/>
        <v>0</v>
      </c>
      <c r="N330" s="86">
        <f t="shared" si="108"/>
        <v>0</v>
      </c>
      <c r="O330" s="127" t="e">
        <f t="shared" si="95"/>
        <v>#DIV/0!</v>
      </c>
      <c r="P330" s="105">
        <f t="shared" si="104"/>
        <v>0</v>
      </c>
      <c r="Q330" s="115">
        <f t="shared" si="105"/>
        <v>0</v>
      </c>
      <c r="R330" s="115">
        <f t="shared" si="106"/>
        <v>0</v>
      </c>
      <c r="S330" s="126" t="e">
        <f t="shared" si="107"/>
        <v>#DIV/0!</v>
      </c>
    </row>
    <row r="331" spans="3:19" s="6" customFormat="1" ht="41.25" customHeight="1" hidden="1">
      <c r="C331" s="26" t="s">
        <v>319</v>
      </c>
      <c r="D331" s="26" t="s">
        <v>259</v>
      </c>
      <c r="E331" s="26" t="s">
        <v>46</v>
      </c>
      <c r="F331" s="27" t="s">
        <v>257</v>
      </c>
      <c r="G331" s="104">
        <f>G332</f>
        <v>0</v>
      </c>
      <c r="H331" s="104">
        <f>H332</f>
        <v>0</v>
      </c>
      <c r="I331" s="107" t="e">
        <f t="shared" si="103"/>
        <v>#DIV/0!</v>
      </c>
      <c r="J331" s="104">
        <f>J332</f>
        <v>0</v>
      </c>
      <c r="K331" s="104">
        <f>K332</f>
        <v>0</v>
      </c>
      <c r="L331" s="104">
        <f>L332</f>
        <v>0</v>
      </c>
      <c r="M331" s="104">
        <f>M332</f>
        <v>0</v>
      </c>
      <c r="N331" s="86">
        <f>N332</f>
        <v>0</v>
      </c>
      <c r="O331" s="127" t="e">
        <f t="shared" si="95"/>
        <v>#DIV/0!</v>
      </c>
      <c r="P331" s="105">
        <f t="shared" si="104"/>
        <v>0</v>
      </c>
      <c r="Q331" s="115">
        <f t="shared" si="105"/>
        <v>0</v>
      </c>
      <c r="R331" s="115">
        <f t="shared" si="106"/>
        <v>0</v>
      </c>
      <c r="S331" s="126" t="e">
        <f t="shared" si="107"/>
        <v>#DIV/0!</v>
      </c>
    </row>
    <row r="332" spans="3:19" s="30" customFormat="1" ht="172.5" customHeight="1" hidden="1">
      <c r="C332" s="26"/>
      <c r="D332" s="26"/>
      <c r="E332" s="26"/>
      <c r="F332" s="27" t="s">
        <v>320</v>
      </c>
      <c r="G332" s="104"/>
      <c r="H332" s="104"/>
      <c r="I332" s="107" t="e">
        <f t="shared" si="103"/>
        <v>#DIV/0!</v>
      </c>
      <c r="J332" s="104">
        <f>K332+N332</f>
        <v>0</v>
      </c>
      <c r="K332" s="104"/>
      <c r="L332" s="104"/>
      <c r="M332" s="104"/>
      <c r="N332" s="86"/>
      <c r="O332" s="127" t="e">
        <f t="shared" si="95"/>
        <v>#DIV/0!</v>
      </c>
      <c r="P332" s="105">
        <f t="shared" si="104"/>
        <v>0</v>
      </c>
      <c r="Q332" s="115">
        <f t="shared" si="105"/>
        <v>0</v>
      </c>
      <c r="R332" s="115">
        <f t="shared" si="106"/>
        <v>0</v>
      </c>
      <c r="S332" s="126" t="e">
        <f t="shared" si="107"/>
        <v>#DIV/0!</v>
      </c>
    </row>
    <row r="333" spans="3:19" s="69" customFormat="1" ht="33" customHeight="1">
      <c r="C333" s="70"/>
      <c r="D333" s="70"/>
      <c r="E333" s="70"/>
      <c r="F333" s="57" t="s">
        <v>9</v>
      </c>
      <c r="G333" s="109">
        <f>G245+G248+G253+G295+G326+G329</f>
        <v>36811.299999999996</v>
      </c>
      <c r="H333" s="109">
        <f>H245+H248+H253+H295+H326+H329</f>
        <v>29053.6</v>
      </c>
      <c r="I333" s="107">
        <f t="shared" si="103"/>
        <v>78.92576464292215</v>
      </c>
      <c r="J333" s="109">
        <f>J245+J248+J253+J295+J326+J329</f>
        <v>37894</v>
      </c>
      <c r="K333" s="109">
        <f>K245+K248+K253+K295+K326+K329</f>
        <v>24.525</v>
      </c>
      <c r="L333" s="109">
        <f>L245+L248+L253+L295+L326+L329</f>
        <v>23092.6</v>
      </c>
      <c r="M333" s="109">
        <f>M245+M248+M253+M295+M326+M329</f>
        <v>23078.8</v>
      </c>
      <c r="N333" s="99" t="e">
        <f>N245+N248+N253+N295+N326+N329</f>
        <v>#REF!</v>
      </c>
      <c r="O333" s="127">
        <f t="shared" si="95"/>
        <v>60.939990499815266</v>
      </c>
      <c r="P333" s="105">
        <f t="shared" si="104"/>
        <v>74705.29999999999</v>
      </c>
      <c r="Q333" s="115">
        <f t="shared" si="105"/>
        <v>52146.2</v>
      </c>
      <c r="R333" s="115">
        <f t="shared" si="106"/>
        <v>-22559.09999999999</v>
      </c>
      <c r="S333" s="126">
        <f t="shared" si="107"/>
        <v>69.80254413006843</v>
      </c>
    </row>
    <row r="334" spans="3:19" s="38" customFormat="1" ht="63.75" customHeight="1">
      <c r="C334" s="75">
        <v>2800000</v>
      </c>
      <c r="D334" s="24"/>
      <c r="E334" s="24"/>
      <c r="F334" s="36" t="s">
        <v>618</v>
      </c>
      <c r="G334" s="105"/>
      <c r="H334" s="105"/>
      <c r="I334" s="107"/>
      <c r="J334" s="105"/>
      <c r="K334" s="105"/>
      <c r="L334" s="105"/>
      <c r="M334" s="105"/>
      <c r="N334" s="88"/>
      <c r="O334" s="127"/>
      <c r="P334" s="105"/>
      <c r="Q334" s="115"/>
      <c r="R334" s="115"/>
      <c r="S334" s="126"/>
    </row>
    <row r="335" spans="3:19" s="38" customFormat="1" ht="66.75" customHeight="1">
      <c r="C335" s="75">
        <v>2810000</v>
      </c>
      <c r="D335" s="24"/>
      <c r="E335" s="24"/>
      <c r="F335" s="36" t="s">
        <v>619</v>
      </c>
      <c r="G335" s="105"/>
      <c r="H335" s="105"/>
      <c r="I335" s="107"/>
      <c r="J335" s="105"/>
      <c r="K335" s="105"/>
      <c r="L335" s="105"/>
      <c r="M335" s="105"/>
      <c r="N335" s="88"/>
      <c r="O335" s="127"/>
      <c r="P335" s="105"/>
      <c r="Q335" s="115"/>
      <c r="R335" s="115"/>
      <c r="S335" s="126"/>
    </row>
    <row r="336" spans="3:19" s="38" customFormat="1" ht="35.25" customHeight="1">
      <c r="C336" s="24"/>
      <c r="D336" s="24"/>
      <c r="E336" s="24"/>
      <c r="F336" s="25" t="s">
        <v>331</v>
      </c>
      <c r="G336" s="105">
        <f>G337</f>
        <v>1403.1</v>
      </c>
      <c r="H336" s="105">
        <f>H337</f>
        <v>1244</v>
      </c>
      <c r="I336" s="107">
        <f t="shared" si="103"/>
        <v>88.6608224645428</v>
      </c>
      <c r="J336" s="105">
        <f>K336+N336</f>
        <v>0</v>
      </c>
      <c r="K336" s="105">
        <f aca="true" t="shared" si="109" ref="K336:N337">K337</f>
        <v>0</v>
      </c>
      <c r="L336" s="105">
        <f t="shared" si="109"/>
        <v>0</v>
      </c>
      <c r="M336" s="105">
        <f t="shared" si="109"/>
        <v>0</v>
      </c>
      <c r="N336" s="88">
        <f t="shared" si="109"/>
        <v>0</v>
      </c>
      <c r="O336" s="127"/>
      <c r="P336" s="105">
        <f t="shared" si="104"/>
        <v>1403.1</v>
      </c>
      <c r="Q336" s="115">
        <f t="shared" si="105"/>
        <v>1244</v>
      </c>
      <c r="R336" s="115">
        <f t="shared" si="106"/>
        <v>-159.0999999999999</v>
      </c>
      <c r="S336" s="126">
        <f t="shared" si="107"/>
        <v>88.6608224645428</v>
      </c>
    </row>
    <row r="337" spans="1:19" s="6" customFormat="1" ht="63" customHeight="1">
      <c r="A337" s="6">
        <v>8</v>
      </c>
      <c r="B337" s="6">
        <v>57</v>
      </c>
      <c r="C337" s="26" t="s">
        <v>160</v>
      </c>
      <c r="D337" s="26" t="s">
        <v>51</v>
      </c>
      <c r="E337" s="26" t="s">
        <v>47</v>
      </c>
      <c r="F337" s="27" t="s">
        <v>153</v>
      </c>
      <c r="G337" s="104">
        <f>G338</f>
        <v>1403.1</v>
      </c>
      <c r="H337" s="104">
        <f>H338</f>
        <v>1244</v>
      </c>
      <c r="I337" s="107">
        <f t="shared" si="103"/>
        <v>88.6608224645428</v>
      </c>
      <c r="J337" s="104">
        <f aca="true" t="shared" si="110" ref="J337:J344">K337+N337</f>
        <v>0</v>
      </c>
      <c r="K337" s="104">
        <f t="shared" si="109"/>
        <v>0</v>
      </c>
      <c r="L337" s="104">
        <f t="shared" si="109"/>
        <v>0</v>
      </c>
      <c r="M337" s="104">
        <f t="shared" si="109"/>
        <v>0</v>
      </c>
      <c r="N337" s="86">
        <f t="shared" si="109"/>
        <v>0</v>
      </c>
      <c r="O337" s="127"/>
      <c r="P337" s="105">
        <f t="shared" si="104"/>
        <v>1403.1</v>
      </c>
      <c r="Q337" s="115">
        <f t="shared" si="105"/>
        <v>1244</v>
      </c>
      <c r="R337" s="115">
        <f t="shared" si="106"/>
        <v>-159.0999999999999</v>
      </c>
      <c r="S337" s="126">
        <f t="shared" si="107"/>
        <v>88.6608224645428</v>
      </c>
    </row>
    <row r="338" spans="3:19" s="30" customFormat="1" ht="66" customHeight="1">
      <c r="C338" s="26"/>
      <c r="D338" s="26"/>
      <c r="E338" s="26"/>
      <c r="F338" s="27" t="s">
        <v>343</v>
      </c>
      <c r="G338" s="104">
        <v>1403.1</v>
      </c>
      <c r="H338" s="106">
        <v>1244</v>
      </c>
      <c r="I338" s="107">
        <f t="shared" si="103"/>
        <v>88.6608224645428</v>
      </c>
      <c r="J338" s="104">
        <f t="shared" si="110"/>
        <v>0</v>
      </c>
      <c r="K338" s="106"/>
      <c r="L338" s="106"/>
      <c r="M338" s="106"/>
      <c r="N338" s="90"/>
      <c r="O338" s="127"/>
      <c r="P338" s="105">
        <f t="shared" si="104"/>
        <v>1403.1</v>
      </c>
      <c r="Q338" s="115">
        <f t="shared" si="105"/>
        <v>1244</v>
      </c>
      <c r="R338" s="115">
        <f t="shared" si="106"/>
        <v>-159.0999999999999</v>
      </c>
      <c r="S338" s="126">
        <f t="shared" si="107"/>
        <v>88.6608224645428</v>
      </c>
    </row>
    <row r="339" spans="3:19" s="38" customFormat="1" ht="33.75" customHeight="1" hidden="1">
      <c r="C339" s="24" t="s">
        <v>344</v>
      </c>
      <c r="D339" s="24" t="s">
        <v>321</v>
      </c>
      <c r="E339" s="24"/>
      <c r="F339" s="25" t="s">
        <v>322</v>
      </c>
      <c r="G339" s="105">
        <f>G340</f>
        <v>0</v>
      </c>
      <c r="H339" s="105">
        <f>H340</f>
        <v>0</v>
      </c>
      <c r="I339" s="107" t="e">
        <f t="shared" si="103"/>
        <v>#DIV/0!</v>
      </c>
      <c r="J339" s="105">
        <f>K339+N339</f>
        <v>0</v>
      </c>
      <c r="K339" s="105">
        <f aca="true" t="shared" si="111" ref="K339:N340">K340</f>
        <v>0</v>
      </c>
      <c r="L339" s="105">
        <f t="shared" si="111"/>
        <v>0</v>
      </c>
      <c r="M339" s="105">
        <f t="shared" si="111"/>
        <v>0</v>
      </c>
      <c r="N339" s="88">
        <f t="shared" si="111"/>
        <v>0</v>
      </c>
      <c r="O339" s="127" t="e">
        <f t="shared" si="95"/>
        <v>#DIV/0!</v>
      </c>
      <c r="P339" s="105">
        <f t="shared" si="104"/>
        <v>0</v>
      </c>
      <c r="Q339" s="115">
        <f t="shared" si="105"/>
        <v>0</v>
      </c>
      <c r="R339" s="115">
        <f t="shared" si="106"/>
        <v>0</v>
      </c>
      <c r="S339" s="126" t="e">
        <f t="shared" si="107"/>
        <v>#DIV/0!</v>
      </c>
    </row>
    <row r="340" spans="3:19" s="6" customFormat="1" ht="35.25" customHeight="1" hidden="1">
      <c r="C340" s="26" t="s">
        <v>346</v>
      </c>
      <c r="D340" s="26" t="s">
        <v>86</v>
      </c>
      <c r="E340" s="26" t="s">
        <v>87</v>
      </c>
      <c r="F340" s="27" t="s">
        <v>303</v>
      </c>
      <c r="G340" s="104">
        <f>G341</f>
        <v>0</v>
      </c>
      <c r="H340" s="104">
        <f>H341</f>
        <v>0</v>
      </c>
      <c r="I340" s="107" t="e">
        <f t="shared" si="103"/>
        <v>#DIV/0!</v>
      </c>
      <c r="J340" s="104">
        <f t="shared" si="110"/>
        <v>0</v>
      </c>
      <c r="K340" s="104">
        <f t="shared" si="111"/>
        <v>0</v>
      </c>
      <c r="L340" s="104">
        <f t="shared" si="111"/>
        <v>0</v>
      </c>
      <c r="M340" s="104">
        <f t="shared" si="111"/>
        <v>0</v>
      </c>
      <c r="N340" s="86">
        <f t="shared" si="111"/>
        <v>0</v>
      </c>
      <c r="O340" s="127" t="e">
        <f t="shared" si="95"/>
        <v>#DIV/0!</v>
      </c>
      <c r="P340" s="105">
        <f t="shared" si="104"/>
        <v>0</v>
      </c>
      <c r="Q340" s="115">
        <f t="shared" si="105"/>
        <v>0</v>
      </c>
      <c r="R340" s="115">
        <f t="shared" si="106"/>
        <v>0</v>
      </c>
      <c r="S340" s="126" t="e">
        <f t="shared" si="107"/>
        <v>#DIV/0!</v>
      </c>
    </row>
    <row r="341" spans="3:19" s="30" customFormat="1" ht="68.25" customHeight="1" hidden="1">
      <c r="C341" s="26"/>
      <c r="D341" s="26"/>
      <c r="E341" s="26"/>
      <c r="F341" s="27" t="s">
        <v>345</v>
      </c>
      <c r="G341" s="104"/>
      <c r="H341" s="106"/>
      <c r="I341" s="107" t="e">
        <f t="shared" si="103"/>
        <v>#DIV/0!</v>
      </c>
      <c r="J341" s="104">
        <f t="shared" si="110"/>
        <v>0</v>
      </c>
      <c r="K341" s="106"/>
      <c r="L341" s="106"/>
      <c r="M341" s="106"/>
      <c r="N341" s="90"/>
      <c r="O341" s="127" t="e">
        <f t="shared" si="95"/>
        <v>#DIV/0!</v>
      </c>
      <c r="P341" s="105">
        <f t="shared" si="104"/>
        <v>0</v>
      </c>
      <c r="Q341" s="115">
        <f t="shared" si="105"/>
        <v>0</v>
      </c>
      <c r="R341" s="115">
        <f t="shared" si="106"/>
        <v>0</v>
      </c>
      <c r="S341" s="126" t="e">
        <f t="shared" si="107"/>
        <v>#DIV/0!</v>
      </c>
    </row>
    <row r="342" spans="3:19" s="38" customFormat="1" ht="32.25" customHeight="1">
      <c r="C342" s="24"/>
      <c r="D342" s="24"/>
      <c r="E342" s="24"/>
      <c r="F342" s="25" t="s">
        <v>361</v>
      </c>
      <c r="G342" s="105">
        <f>G343+G345+G347</f>
        <v>190.6</v>
      </c>
      <c r="H342" s="105">
        <f>H343+H345+H347</f>
        <v>37.4</v>
      </c>
      <c r="I342" s="107">
        <f t="shared" si="103"/>
        <v>19.62224554039874</v>
      </c>
      <c r="J342" s="105">
        <f>J343+J345+J347</f>
        <v>349.8</v>
      </c>
      <c r="K342" s="105">
        <f>K343+K345+K347</f>
        <v>90.858</v>
      </c>
      <c r="L342" s="105">
        <f>L343+L345+L347</f>
        <v>59.5</v>
      </c>
      <c r="M342" s="105">
        <f>M343+M345+M347</f>
        <v>0</v>
      </c>
      <c r="N342" s="49" t="e">
        <f>#REF!+#REF!+#REF!</f>
        <v>#REF!</v>
      </c>
      <c r="O342" s="127">
        <f t="shared" si="95"/>
        <v>17.00971983990852</v>
      </c>
      <c r="P342" s="105">
        <f t="shared" si="104"/>
        <v>540.4</v>
      </c>
      <c r="Q342" s="115">
        <f t="shared" si="105"/>
        <v>96.9</v>
      </c>
      <c r="R342" s="115">
        <f t="shared" si="106"/>
        <v>-443.5</v>
      </c>
      <c r="S342" s="126">
        <f t="shared" si="107"/>
        <v>17.931162102146562</v>
      </c>
    </row>
    <row r="343" spans="3:19" s="6" customFormat="1" ht="27.75" customHeight="1">
      <c r="C343" s="26" t="s">
        <v>347</v>
      </c>
      <c r="D343" s="26" t="s">
        <v>348</v>
      </c>
      <c r="E343" s="26" t="s">
        <v>112</v>
      </c>
      <c r="F343" s="27" t="s">
        <v>349</v>
      </c>
      <c r="G343" s="104">
        <f>G344</f>
        <v>149.6</v>
      </c>
      <c r="H343" s="104">
        <f aca="true" t="shared" si="112" ref="H343:N343">H344</f>
        <v>37.4</v>
      </c>
      <c r="I343" s="107">
        <f t="shared" si="103"/>
        <v>25</v>
      </c>
      <c r="J343" s="104">
        <f t="shared" si="110"/>
        <v>0</v>
      </c>
      <c r="K343" s="104">
        <f t="shared" si="112"/>
        <v>0</v>
      </c>
      <c r="L343" s="104">
        <f t="shared" si="112"/>
        <v>0</v>
      </c>
      <c r="M343" s="104">
        <f t="shared" si="112"/>
        <v>0</v>
      </c>
      <c r="N343" s="86">
        <f t="shared" si="112"/>
        <v>0</v>
      </c>
      <c r="O343" s="127"/>
      <c r="P343" s="105">
        <f t="shared" si="104"/>
        <v>149.6</v>
      </c>
      <c r="Q343" s="115">
        <f t="shared" si="105"/>
        <v>37.4</v>
      </c>
      <c r="R343" s="115">
        <f t="shared" si="106"/>
        <v>-112.19999999999999</v>
      </c>
      <c r="S343" s="126">
        <f t="shared" si="107"/>
        <v>25</v>
      </c>
    </row>
    <row r="344" spans="3:19" s="30" customFormat="1" ht="42" customHeight="1">
      <c r="C344" s="26"/>
      <c r="D344" s="26"/>
      <c r="E344" s="26"/>
      <c r="F344" s="27" t="s">
        <v>350</v>
      </c>
      <c r="G344" s="104">
        <f>240.5-90.9</f>
        <v>149.6</v>
      </c>
      <c r="H344" s="106">
        <v>37.4</v>
      </c>
      <c r="I344" s="107">
        <f t="shared" si="103"/>
        <v>25</v>
      </c>
      <c r="J344" s="104">
        <f t="shared" si="110"/>
        <v>0</v>
      </c>
      <c r="K344" s="106"/>
      <c r="L344" s="106">
        <v>0</v>
      </c>
      <c r="M344" s="106">
        <v>0</v>
      </c>
      <c r="N344" s="90"/>
      <c r="O344" s="127"/>
      <c r="P344" s="105">
        <f t="shared" si="104"/>
        <v>149.6</v>
      </c>
      <c r="Q344" s="115">
        <f t="shared" si="105"/>
        <v>37.4</v>
      </c>
      <c r="R344" s="115">
        <f t="shared" si="106"/>
        <v>-112.19999999999999</v>
      </c>
      <c r="S344" s="126">
        <f t="shared" si="107"/>
        <v>25</v>
      </c>
    </row>
    <row r="345" spans="3:19" s="6" customFormat="1" ht="47.25" customHeight="1">
      <c r="C345" s="26" t="s">
        <v>502</v>
      </c>
      <c r="D345" s="26" t="s">
        <v>422</v>
      </c>
      <c r="E345" s="26" t="s">
        <v>49</v>
      </c>
      <c r="F345" s="27" t="s">
        <v>317</v>
      </c>
      <c r="G345" s="104">
        <f>G346</f>
        <v>41</v>
      </c>
      <c r="H345" s="104">
        <f>H346</f>
        <v>0</v>
      </c>
      <c r="I345" s="107">
        <f t="shared" si="103"/>
        <v>0</v>
      </c>
      <c r="J345" s="104">
        <f aca="true" t="shared" si="113" ref="J345:J351">K345+N345</f>
        <v>259</v>
      </c>
      <c r="K345" s="104">
        <f>K346</f>
        <v>0</v>
      </c>
      <c r="L345" s="104">
        <f>L346</f>
        <v>0</v>
      </c>
      <c r="M345" s="104">
        <f>M346</f>
        <v>0</v>
      </c>
      <c r="N345" s="86">
        <f>N346</f>
        <v>259</v>
      </c>
      <c r="O345" s="127">
        <f t="shared" si="95"/>
        <v>0</v>
      </c>
      <c r="P345" s="105">
        <f t="shared" si="104"/>
        <v>300</v>
      </c>
      <c r="Q345" s="115">
        <f t="shared" si="105"/>
        <v>0</v>
      </c>
      <c r="R345" s="115">
        <f t="shared" si="106"/>
        <v>-300</v>
      </c>
      <c r="S345" s="126">
        <f t="shared" si="107"/>
        <v>0</v>
      </c>
    </row>
    <row r="346" spans="3:19" s="30" customFormat="1" ht="45.75" customHeight="1">
      <c r="C346" s="26"/>
      <c r="D346" s="26"/>
      <c r="E346" s="26"/>
      <c r="F346" s="27" t="s">
        <v>350</v>
      </c>
      <c r="G346" s="104">
        <v>41</v>
      </c>
      <c r="H346" s="106"/>
      <c r="I346" s="107">
        <f t="shared" si="103"/>
        <v>0</v>
      </c>
      <c r="J346" s="104">
        <f t="shared" si="113"/>
        <v>259</v>
      </c>
      <c r="K346" s="106"/>
      <c r="L346" s="106"/>
      <c r="M346" s="106"/>
      <c r="N346" s="90">
        <v>259</v>
      </c>
      <c r="O346" s="127">
        <f t="shared" si="95"/>
        <v>0</v>
      </c>
      <c r="P346" s="105">
        <f t="shared" si="104"/>
        <v>300</v>
      </c>
      <c r="Q346" s="115">
        <f t="shared" si="105"/>
        <v>0</v>
      </c>
      <c r="R346" s="115">
        <f t="shared" si="106"/>
        <v>-300</v>
      </c>
      <c r="S346" s="126">
        <f t="shared" si="107"/>
        <v>0</v>
      </c>
    </row>
    <row r="347" spans="3:19" s="30" customFormat="1" ht="138.75" customHeight="1">
      <c r="C347" s="4" t="s">
        <v>597</v>
      </c>
      <c r="D347" s="4" t="s">
        <v>415</v>
      </c>
      <c r="E347" s="4" t="s">
        <v>49</v>
      </c>
      <c r="F347" s="34" t="s">
        <v>416</v>
      </c>
      <c r="G347" s="104">
        <f>G348</f>
        <v>0</v>
      </c>
      <c r="H347" s="104">
        <f aca="true" t="shared" si="114" ref="H347:N347">H348</f>
        <v>0</v>
      </c>
      <c r="I347" s="128" t="e">
        <f t="shared" si="103"/>
        <v>#DIV/0!</v>
      </c>
      <c r="J347" s="104">
        <f t="shared" si="114"/>
        <v>90.8</v>
      </c>
      <c r="K347" s="104">
        <f t="shared" si="114"/>
        <v>90.858</v>
      </c>
      <c r="L347" s="104">
        <f t="shared" si="114"/>
        <v>59.5</v>
      </c>
      <c r="M347" s="104">
        <f t="shared" si="114"/>
        <v>0</v>
      </c>
      <c r="N347" s="12">
        <f t="shared" si="114"/>
        <v>0</v>
      </c>
      <c r="O347" s="127">
        <f t="shared" si="95"/>
        <v>65.52863436123349</v>
      </c>
      <c r="P347" s="105">
        <f t="shared" si="104"/>
        <v>90.8</v>
      </c>
      <c r="Q347" s="115">
        <f t="shared" si="105"/>
        <v>59.5</v>
      </c>
      <c r="R347" s="115">
        <f t="shared" si="106"/>
        <v>-31.299999999999997</v>
      </c>
      <c r="S347" s="126">
        <f t="shared" si="107"/>
        <v>65.52863436123349</v>
      </c>
    </row>
    <row r="348" spans="3:19" s="30" customFormat="1" ht="45.75" customHeight="1">
      <c r="C348" s="26"/>
      <c r="D348" s="26"/>
      <c r="E348" s="26"/>
      <c r="F348" s="27" t="s">
        <v>531</v>
      </c>
      <c r="G348" s="104"/>
      <c r="H348" s="106"/>
      <c r="I348" s="128" t="e">
        <f t="shared" si="103"/>
        <v>#DIV/0!</v>
      </c>
      <c r="J348" s="104">
        <v>90.8</v>
      </c>
      <c r="K348" s="106">
        <v>90.858</v>
      </c>
      <c r="L348" s="106">
        <v>59.5</v>
      </c>
      <c r="M348" s="106"/>
      <c r="N348" s="90"/>
      <c r="O348" s="127">
        <f t="shared" si="95"/>
        <v>65.52863436123349</v>
      </c>
      <c r="P348" s="105">
        <f t="shared" si="104"/>
        <v>90.8</v>
      </c>
      <c r="Q348" s="115">
        <f t="shared" si="105"/>
        <v>59.5</v>
      </c>
      <c r="R348" s="115">
        <f t="shared" si="106"/>
        <v>-31.299999999999997</v>
      </c>
      <c r="S348" s="126">
        <f t="shared" si="107"/>
        <v>65.52863436123349</v>
      </c>
    </row>
    <row r="349" spans="3:19" s="38" customFormat="1" ht="33.75" customHeight="1">
      <c r="C349" s="24" t="s">
        <v>351</v>
      </c>
      <c r="D349" s="24" t="s">
        <v>324</v>
      </c>
      <c r="E349" s="24"/>
      <c r="F349" s="25" t="s">
        <v>325</v>
      </c>
      <c r="G349" s="105">
        <f>G350</f>
        <v>0</v>
      </c>
      <c r="H349" s="105">
        <f>H350</f>
        <v>0</v>
      </c>
      <c r="I349" s="128" t="e">
        <f t="shared" si="103"/>
        <v>#DIV/0!</v>
      </c>
      <c r="J349" s="105">
        <f>J350</f>
        <v>95</v>
      </c>
      <c r="K349" s="105">
        <f>K350</f>
        <v>95</v>
      </c>
      <c r="L349" s="105">
        <f>L350</f>
        <v>21.6</v>
      </c>
      <c r="M349" s="105">
        <f>M350</f>
        <v>0</v>
      </c>
      <c r="N349" s="88" t="e">
        <f>#REF!</f>
        <v>#REF!</v>
      </c>
      <c r="O349" s="127">
        <f t="shared" si="95"/>
        <v>22.736842105263158</v>
      </c>
      <c r="P349" s="105">
        <f t="shared" si="104"/>
        <v>95</v>
      </c>
      <c r="Q349" s="115">
        <f t="shared" si="105"/>
        <v>21.6</v>
      </c>
      <c r="R349" s="115">
        <f t="shared" si="106"/>
        <v>-73.4</v>
      </c>
      <c r="S349" s="126">
        <f t="shared" si="107"/>
        <v>22.736842105263158</v>
      </c>
    </row>
    <row r="350" spans="1:19" s="6" customFormat="1" ht="33" customHeight="1">
      <c r="A350" s="38"/>
      <c r="C350" s="26" t="s">
        <v>468</v>
      </c>
      <c r="D350" s="26" t="s">
        <v>469</v>
      </c>
      <c r="E350" s="26" t="s">
        <v>470</v>
      </c>
      <c r="F350" s="27" t="s">
        <v>501</v>
      </c>
      <c r="G350" s="104">
        <f>G351</f>
        <v>0</v>
      </c>
      <c r="H350" s="104">
        <f>H351</f>
        <v>0</v>
      </c>
      <c r="I350" s="128" t="e">
        <f t="shared" si="103"/>
        <v>#DIV/0!</v>
      </c>
      <c r="J350" s="104">
        <f t="shared" si="113"/>
        <v>95</v>
      </c>
      <c r="K350" s="104">
        <f>K351</f>
        <v>95</v>
      </c>
      <c r="L350" s="104">
        <f>L351</f>
        <v>21.6</v>
      </c>
      <c r="M350" s="104">
        <f>M351</f>
        <v>0</v>
      </c>
      <c r="N350" s="86">
        <f>N351</f>
        <v>0</v>
      </c>
      <c r="O350" s="127">
        <f t="shared" si="95"/>
        <v>22.736842105263158</v>
      </c>
      <c r="P350" s="105">
        <f t="shared" si="104"/>
        <v>95</v>
      </c>
      <c r="Q350" s="115">
        <f t="shared" si="105"/>
        <v>21.6</v>
      </c>
      <c r="R350" s="115">
        <f t="shared" si="106"/>
        <v>-73.4</v>
      </c>
      <c r="S350" s="126">
        <f t="shared" si="107"/>
        <v>22.736842105263158</v>
      </c>
    </row>
    <row r="351" spans="3:19" s="30" customFormat="1" ht="58.5" customHeight="1">
      <c r="C351" s="26"/>
      <c r="D351" s="26"/>
      <c r="E351" s="26"/>
      <c r="F351" s="27" t="s">
        <v>27</v>
      </c>
      <c r="G351" s="104"/>
      <c r="H351" s="104"/>
      <c r="I351" s="128" t="e">
        <f t="shared" si="103"/>
        <v>#DIV/0!</v>
      </c>
      <c r="J351" s="104">
        <f t="shared" si="113"/>
        <v>95</v>
      </c>
      <c r="K351" s="104">
        <v>95</v>
      </c>
      <c r="L351" s="104">
        <v>21.6</v>
      </c>
      <c r="M351" s="104"/>
      <c r="N351" s="86"/>
      <c r="O351" s="127">
        <f t="shared" si="95"/>
        <v>22.736842105263158</v>
      </c>
      <c r="P351" s="105">
        <f t="shared" si="104"/>
        <v>95</v>
      </c>
      <c r="Q351" s="115">
        <f t="shared" si="105"/>
        <v>21.6</v>
      </c>
      <c r="R351" s="115">
        <f t="shared" si="106"/>
        <v>-73.4</v>
      </c>
      <c r="S351" s="126">
        <f t="shared" si="107"/>
        <v>22.736842105263158</v>
      </c>
    </row>
    <row r="352" spans="3:19" s="69" customFormat="1" ht="34.5" customHeight="1">
      <c r="C352" s="70"/>
      <c r="D352" s="70"/>
      <c r="E352" s="70"/>
      <c r="F352" s="76" t="s">
        <v>9</v>
      </c>
      <c r="G352" s="109">
        <f>G336+G339+G342+G349</f>
        <v>1593.6999999999998</v>
      </c>
      <c r="H352" s="109">
        <f>H336+H339+H342+H349</f>
        <v>1281.4</v>
      </c>
      <c r="I352" s="107">
        <f t="shared" si="103"/>
        <v>80.40409110874069</v>
      </c>
      <c r="J352" s="109">
        <f>J336+J339+J342+J349</f>
        <v>444.8</v>
      </c>
      <c r="K352" s="109">
        <f>K336+K339+K342+K349</f>
        <v>185.858</v>
      </c>
      <c r="L352" s="109">
        <f>L336+L339+L342+L349</f>
        <v>81.1</v>
      </c>
      <c r="M352" s="109">
        <f>M336+M339+M342+M349</f>
        <v>0</v>
      </c>
      <c r="N352" s="89" t="e">
        <f>N336+N339+N342+N349</f>
        <v>#REF!</v>
      </c>
      <c r="O352" s="127">
        <f t="shared" si="95"/>
        <v>18.232913669064747</v>
      </c>
      <c r="P352" s="105">
        <f t="shared" si="104"/>
        <v>2038.4999999999998</v>
      </c>
      <c r="Q352" s="115">
        <f t="shared" si="105"/>
        <v>1362.5</v>
      </c>
      <c r="R352" s="115">
        <f t="shared" si="106"/>
        <v>-675.9999999999998</v>
      </c>
      <c r="S352" s="126">
        <f t="shared" si="107"/>
        <v>66.8383615403483</v>
      </c>
    </row>
    <row r="353" spans="3:19" s="38" customFormat="1" ht="63.75" customHeight="1">
      <c r="C353" s="24" t="s">
        <v>161</v>
      </c>
      <c r="D353" s="24"/>
      <c r="E353" s="24"/>
      <c r="F353" s="36" t="s">
        <v>620</v>
      </c>
      <c r="G353" s="105"/>
      <c r="H353" s="105"/>
      <c r="I353" s="107"/>
      <c r="J353" s="105"/>
      <c r="K353" s="105"/>
      <c r="L353" s="105"/>
      <c r="M353" s="105"/>
      <c r="N353" s="88"/>
      <c r="O353" s="127"/>
      <c r="P353" s="105"/>
      <c r="Q353" s="115"/>
      <c r="R353" s="115"/>
      <c r="S353" s="126"/>
    </row>
    <row r="354" spans="3:19" s="6" customFormat="1" ht="85.5" customHeight="1">
      <c r="C354" s="24" t="s">
        <v>162</v>
      </c>
      <c r="D354" s="26"/>
      <c r="E354" s="26"/>
      <c r="F354" s="36" t="s">
        <v>621</v>
      </c>
      <c r="G354" s="104"/>
      <c r="H354" s="104"/>
      <c r="I354" s="107"/>
      <c r="J354" s="104"/>
      <c r="K354" s="104"/>
      <c r="L354" s="104"/>
      <c r="M354" s="104"/>
      <c r="N354" s="86"/>
      <c r="O354" s="127"/>
      <c r="P354" s="105"/>
      <c r="Q354" s="115"/>
      <c r="R354" s="115"/>
      <c r="S354" s="126"/>
    </row>
    <row r="355" spans="3:19" s="38" customFormat="1" ht="25.5" customHeight="1">
      <c r="C355" s="24"/>
      <c r="D355" s="24"/>
      <c r="E355" s="24"/>
      <c r="F355" s="25" t="s">
        <v>331</v>
      </c>
      <c r="G355" s="105">
        <f>G356</f>
        <v>1935.1</v>
      </c>
      <c r="H355" s="105">
        <f>H356</f>
        <v>1689.2</v>
      </c>
      <c r="I355" s="107">
        <f t="shared" si="103"/>
        <v>87.29264637486436</v>
      </c>
      <c r="J355" s="105">
        <f>K355+N355</f>
        <v>0</v>
      </c>
      <c r="K355" s="105">
        <f aca="true" t="shared" si="115" ref="K355:N356">K356</f>
        <v>0</v>
      </c>
      <c r="L355" s="105">
        <f t="shared" si="115"/>
        <v>0</v>
      </c>
      <c r="M355" s="105">
        <f t="shared" si="115"/>
        <v>0</v>
      </c>
      <c r="N355" s="88">
        <f t="shared" si="115"/>
        <v>0</v>
      </c>
      <c r="O355" s="127"/>
      <c r="P355" s="105">
        <f t="shared" si="104"/>
        <v>1935.1</v>
      </c>
      <c r="Q355" s="115">
        <f t="shared" si="105"/>
        <v>1689.2</v>
      </c>
      <c r="R355" s="115">
        <f t="shared" si="106"/>
        <v>-245.89999999999986</v>
      </c>
      <c r="S355" s="126">
        <f t="shared" si="107"/>
        <v>87.29264637486436</v>
      </c>
    </row>
    <row r="356" spans="1:19" s="6" customFormat="1" ht="61.5" customHeight="1">
      <c r="A356" s="6">
        <v>8</v>
      </c>
      <c r="B356" s="6">
        <v>57</v>
      </c>
      <c r="C356" s="26" t="s">
        <v>163</v>
      </c>
      <c r="D356" s="26" t="s">
        <v>51</v>
      </c>
      <c r="E356" s="26" t="s">
        <v>47</v>
      </c>
      <c r="F356" s="27" t="s">
        <v>153</v>
      </c>
      <c r="G356" s="104">
        <f>G357</f>
        <v>1935.1</v>
      </c>
      <c r="H356" s="104">
        <f>H357</f>
        <v>1689.2</v>
      </c>
      <c r="I356" s="107">
        <f t="shared" si="103"/>
        <v>87.29264637486436</v>
      </c>
      <c r="J356" s="104">
        <f aca="true" t="shared" si="116" ref="J356:J372">K356+N356</f>
        <v>0</v>
      </c>
      <c r="K356" s="104">
        <f t="shared" si="115"/>
        <v>0</v>
      </c>
      <c r="L356" s="104">
        <f t="shared" si="115"/>
        <v>0</v>
      </c>
      <c r="M356" s="104">
        <f t="shared" si="115"/>
        <v>0</v>
      </c>
      <c r="N356" s="86">
        <f t="shared" si="115"/>
        <v>0</v>
      </c>
      <c r="O356" s="127"/>
      <c r="P356" s="105">
        <f t="shared" si="104"/>
        <v>1935.1</v>
      </c>
      <c r="Q356" s="115">
        <f t="shared" si="105"/>
        <v>1689.2</v>
      </c>
      <c r="R356" s="115">
        <f t="shared" si="106"/>
        <v>-245.89999999999986</v>
      </c>
      <c r="S356" s="126">
        <f t="shared" si="107"/>
        <v>87.29264637486436</v>
      </c>
    </row>
    <row r="357" spans="3:19" s="30" customFormat="1" ht="62.25" customHeight="1">
      <c r="C357" s="26"/>
      <c r="D357" s="26"/>
      <c r="E357" s="26"/>
      <c r="F357" s="27" t="s">
        <v>164</v>
      </c>
      <c r="G357" s="106">
        <v>1935.1</v>
      </c>
      <c r="H357" s="106">
        <v>1689.2</v>
      </c>
      <c r="I357" s="107">
        <f t="shared" si="103"/>
        <v>87.29264637486436</v>
      </c>
      <c r="J357" s="104">
        <f t="shared" si="116"/>
        <v>0</v>
      </c>
      <c r="K357" s="106"/>
      <c r="L357" s="106"/>
      <c r="M357" s="106"/>
      <c r="N357" s="90"/>
      <c r="O357" s="127"/>
      <c r="P357" s="105">
        <f t="shared" si="104"/>
        <v>1935.1</v>
      </c>
      <c r="Q357" s="115">
        <f t="shared" si="105"/>
        <v>1689.2</v>
      </c>
      <c r="R357" s="115">
        <f t="shared" si="106"/>
        <v>-245.89999999999986</v>
      </c>
      <c r="S357" s="126">
        <f t="shared" si="107"/>
        <v>87.29264637486436</v>
      </c>
    </row>
    <row r="358" spans="3:19" s="55" customFormat="1" ht="24.75" customHeight="1">
      <c r="C358" s="24"/>
      <c r="D358" s="24"/>
      <c r="E358" s="24"/>
      <c r="F358" s="25" t="s">
        <v>361</v>
      </c>
      <c r="G358" s="150">
        <f>G359</f>
        <v>59</v>
      </c>
      <c r="H358" s="150">
        <f aca="true" t="shared" si="117" ref="H358:N359">H359</f>
        <v>48.1</v>
      </c>
      <c r="I358" s="128">
        <f t="shared" si="103"/>
        <v>81.52542372881356</v>
      </c>
      <c r="J358" s="105">
        <f>J359</f>
        <v>941</v>
      </c>
      <c r="K358" s="150">
        <f t="shared" si="117"/>
        <v>0</v>
      </c>
      <c r="L358" s="150">
        <f t="shared" si="117"/>
        <v>669.8</v>
      </c>
      <c r="M358" s="150">
        <f t="shared" si="117"/>
        <v>669.8</v>
      </c>
      <c r="N358" s="93">
        <f t="shared" si="117"/>
        <v>1000</v>
      </c>
      <c r="O358" s="127">
        <f t="shared" si="95"/>
        <v>71.17959617428268</v>
      </c>
      <c r="P358" s="105">
        <f t="shared" si="104"/>
        <v>1000</v>
      </c>
      <c r="Q358" s="115">
        <f t="shared" si="105"/>
        <v>717.9</v>
      </c>
      <c r="R358" s="115">
        <f t="shared" si="106"/>
        <v>-282.1</v>
      </c>
      <c r="S358" s="126">
        <f t="shared" si="107"/>
        <v>71.78999999999999</v>
      </c>
    </row>
    <row r="359" spans="3:19" s="30" customFormat="1" ht="44.25" customHeight="1">
      <c r="C359" s="26" t="s">
        <v>532</v>
      </c>
      <c r="D359" s="26" t="s">
        <v>422</v>
      </c>
      <c r="E359" s="26" t="s">
        <v>49</v>
      </c>
      <c r="F359" s="27" t="s">
        <v>317</v>
      </c>
      <c r="G359" s="106">
        <f>G360</f>
        <v>59</v>
      </c>
      <c r="H359" s="106">
        <f t="shared" si="117"/>
        <v>48.1</v>
      </c>
      <c r="I359" s="128">
        <f t="shared" si="103"/>
        <v>81.52542372881356</v>
      </c>
      <c r="J359" s="104">
        <f>J360</f>
        <v>941</v>
      </c>
      <c r="K359" s="106">
        <f t="shared" si="117"/>
        <v>0</v>
      </c>
      <c r="L359" s="106">
        <f t="shared" si="117"/>
        <v>669.8</v>
      </c>
      <c r="M359" s="106">
        <f t="shared" si="117"/>
        <v>669.8</v>
      </c>
      <c r="N359" s="28">
        <f t="shared" si="117"/>
        <v>1000</v>
      </c>
      <c r="O359" s="127">
        <f aca="true" t="shared" si="118" ref="O359:O364">L359/J359*100</f>
        <v>71.17959617428268</v>
      </c>
      <c r="P359" s="105">
        <f t="shared" si="104"/>
        <v>1000</v>
      </c>
      <c r="Q359" s="115">
        <f t="shared" si="105"/>
        <v>717.9</v>
      </c>
      <c r="R359" s="115">
        <f t="shared" si="106"/>
        <v>-282.1</v>
      </c>
      <c r="S359" s="126">
        <f t="shared" si="107"/>
        <v>71.78999999999999</v>
      </c>
    </row>
    <row r="360" spans="3:19" s="30" customFormat="1" ht="81.75" customHeight="1">
      <c r="C360" s="26"/>
      <c r="D360" s="26"/>
      <c r="E360" s="26"/>
      <c r="F360" s="27" t="s">
        <v>113</v>
      </c>
      <c r="G360" s="106">
        <v>59</v>
      </c>
      <c r="H360" s="106">
        <v>48.1</v>
      </c>
      <c r="I360" s="128">
        <f t="shared" si="103"/>
        <v>81.52542372881356</v>
      </c>
      <c r="J360" s="104">
        <v>941</v>
      </c>
      <c r="K360" s="106"/>
      <c r="L360" s="106">
        <v>669.8</v>
      </c>
      <c r="M360" s="106">
        <v>669.8</v>
      </c>
      <c r="N360" s="90">
        <v>1000</v>
      </c>
      <c r="O360" s="127">
        <f t="shared" si="118"/>
        <v>71.17959617428268</v>
      </c>
      <c r="P360" s="105">
        <f t="shared" si="104"/>
        <v>1000</v>
      </c>
      <c r="Q360" s="115">
        <f t="shared" si="105"/>
        <v>717.9</v>
      </c>
      <c r="R360" s="115">
        <f t="shared" si="106"/>
        <v>-282.1</v>
      </c>
      <c r="S360" s="126">
        <f t="shared" si="107"/>
        <v>71.78999999999999</v>
      </c>
    </row>
    <row r="361" spans="3:19" s="38" customFormat="1" ht="26.25" customHeight="1">
      <c r="C361" s="24"/>
      <c r="D361" s="24"/>
      <c r="E361" s="24"/>
      <c r="F361" s="52" t="s">
        <v>360</v>
      </c>
      <c r="G361" s="105">
        <f>G362+G365+G366</f>
        <v>816.0999999999999</v>
      </c>
      <c r="H361" s="105">
        <f>H362+H365+H366</f>
        <v>609.3</v>
      </c>
      <c r="I361" s="107">
        <f t="shared" si="103"/>
        <v>74.65996814115917</v>
      </c>
      <c r="J361" s="105">
        <f>J362+J365+J366</f>
        <v>37.5</v>
      </c>
      <c r="K361" s="105">
        <f>K362+K365+K366</f>
        <v>0</v>
      </c>
      <c r="L361" s="105">
        <f>L362+L365+L366</f>
        <v>34.7</v>
      </c>
      <c r="M361" s="105">
        <f>M362+M365+M366</f>
        <v>34.7</v>
      </c>
      <c r="N361" s="88" t="e">
        <f>#REF!</f>
        <v>#REF!</v>
      </c>
      <c r="O361" s="127">
        <f t="shared" si="118"/>
        <v>92.53333333333335</v>
      </c>
      <c r="P361" s="105">
        <f t="shared" si="104"/>
        <v>853.5999999999999</v>
      </c>
      <c r="Q361" s="115">
        <f t="shared" si="105"/>
        <v>644</v>
      </c>
      <c r="R361" s="115">
        <f t="shared" si="106"/>
        <v>-209.5999999999999</v>
      </c>
      <c r="S361" s="126">
        <f t="shared" si="107"/>
        <v>75.44517338331772</v>
      </c>
    </row>
    <row r="362" spans="1:19" s="6" customFormat="1" ht="43.5" customHeight="1">
      <c r="A362" s="38">
        <v>2</v>
      </c>
      <c r="B362" s="6">
        <v>60</v>
      </c>
      <c r="C362" s="26" t="s">
        <v>352</v>
      </c>
      <c r="D362" s="26" t="s">
        <v>318</v>
      </c>
      <c r="E362" s="26" t="s">
        <v>99</v>
      </c>
      <c r="F362" s="27" t="s">
        <v>548</v>
      </c>
      <c r="G362" s="104">
        <f>SUM(G363:G364)</f>
        <v>187.8</v>
      </c>
      <c r="H362" s="104">
        <f>H363</f>
        <v>128.9</v>
      </c>
      <c r="I362" s="107">
        <f t="shared" si="103"/>
        <v>68.63684771033014</v>
      </c>
      <c r="J362" s="104">
        <f t="shared" si="116"/>
        <v>37.5</v>
      </c>
      <c r="K362" s="104">
        <f>SUM(K363:K364)</f>
        <v>0</v>
      </c>
      <c r="L362" s="104">
        <f>SUM(L363:L364)</f>
        <v>34.7</v>
      </c>
      <c r="M362" s="104">
        <f>SUM(M363:M364)</f>
        <v>34.7</v>
      </c>
      <c r="N362" s="86">
        <f>SUM(N363:N364)</f>
        <v>37.5</v>
      </c>
      <c r="O362" s="127">
        <f t="shared" si="118"/>
        <v>92.53333333333335</v>
      </c>
      <c r="P362" s="105">
        <f t="shared" si="104"/>
        <v>225.3</v>
      </c>
      <c r="Q362" s="115">
        <f t="shared" si="105"/>
        <v>163.60000000000002</v>
      </c>
      <c r="R362" s="115">
        <f t="shared" si="106"/>
        <v>-61.69999999999999</v>
      </c>
      <c r="S362" s="126">
        <f t="shared" si="107"/>
        <v>72.61429205503774</v>
      </c>
    </row>
    <row r="363" spans="1:19" s="30" customFormat="1" ht="77.25" customHeight="1">
      <c r="A363" s="55"/>
      <c r="C363" s="26"/>
      <c r="D363" s="26"/>
      <c r="E363" s="26"/>
      <c r="F363" s="27" t="s">
        <v>503</v>
      </c>
      <c r="G363" s="104">
        <v>187.8</v>
      </c>
      <c r="H363" s="104">
        <v>128.9</v>
      </c>
      <c r="I363" s="107">
        <f t="shared" si="103"/>
        <v>68.63684771033014</v>
      </c>
      <c r="J363" s="104">
        <f t="shared" si="116"/>
        <v>37.5</v>
      </c>
      <c r="K363" s="108"/>
      <c r="L363" s="104">
        <v>34.7</v>
      </c>
      <c r="M363" s="104">
        <v>34.7</v>
      </c>
      <c r="N363" s="86">
        <v>37.5</v>
      </c>
      <c r="O363" s="127">
        <f t="shared" si="118"/>
        <v>92.53333333333335</v>
      </c>
      <c r="P363" s="105">
        <f t="shared" si="104"/>
        <v>225.3</v>
      </c>
      <c r="Q363" s="115">
        <f t="shared" si="105"/>
        <v>163.60000000000002</v>
      </c>
      <c r="R363" s="115">
        <f t="shared" si="106"/>
        <v>-61.69999999999999</v>
      </c>
      <c r="S363" s="126">
        <f t="shared" si="107"/>
        <v>72.61429205503774</v>
      </c>
    </row>
    <row r="364" spans="1:19" s="30" customFormat="1" ht="48" customHeight="1" hidden="1">
      <c r="A364" s="55"/>
      <c r="C364" s="4"/>
      <c r="D364" s="4"/>
      <c r="E364" s="4"/>
      <c r="F364" s="27" t="s">
        <v>22</v>
      </c>
      <c r="G364" s="104"/>
      <c r="H364" s="104"/>
      <c r="I364" s="107" t="e">
        <f t="shared" si="103"/>
        <v>#DIV/0!</v>
      </c>
      <c r="J364" s="104">
        <f t="shared" si="116"/>
        <v>0</v>
      </c>
      <c r="K364" s="108"/>
      <c r="L364" s="104"/>
      <c r="M364" s="104"/>
      <c r="N364" s="86"/>
      <c r="O364" s="127" t="e">
        <f t="shared" si="118"/>
        <v>#DIV/0!</v>
      </c>
      <c r="P364" s="105">
        <f t="shared" si="104"/>
        <v>0</v>
      </c>
      <c r="Q364" s="115">
        <f t="shared" si="105"/>
        <v>0</v>
      </c>
      <c r="R364" s="115">
        <f t="shared" si="106"/>
        <v>0</v>
      </c>
      <c r="S364" s="126" t="e">
        <f t="shared" si="107"/>
        <v>#DIV/0!</v>
      </c>
    </row>
    <row r="365" spans="1:19" s="6" customFormat="1" ht="38.25" customHeight="1">
      <c r="A365" s="38">
        <v>3</v>
      </c>
      <c r="B365" s="6">
        <v>59</v>
      </c>
      <c r="C365" s="26" t="s">
        <v>353</v>
      </c>
      <c r="D365" s="26" t="s">
        <v>90</v>
      </c>
      <c r="E365" s="26" t="s">
        <v>99</v>
      </c>
      <c r="F365" s="27" t="s">
        <v>354</v>
      </c>
      <c r="G365" s="104">
        <v>597.3</v>
      </c>
      <c r="H365" s="104">
        <v>456.4</v>
      </c>
      <c r="I365" s="107">
        <f t="shared" si="103"/>
        <v>76.41051397957476</v>
      </c>
      <c r="J365" s="104">
        <f t="shared" si="116"/>
        <v>0</v>
      </c>
      <c r="K365" s="108"/>
      <c r="L365" s="104"/>
      <c r="M365" s="104"/>
      <c r="N365" s="86"/>
      <c r="O365" s="127"/>
      <c r="P365" s="105">
        <f t="shared" si="104"/>
        <v>597.3</v>
      </c>
      <c r="Q365" s="115">
        <f t="shared" si="105"/>
        <v>456.4</v>
      </c>
      <c r="R365" s="115">
        <f t="shared" si="106"/>
        <v>-140.89999999999998</v>
      </c>
      <c r="S365" s="126">
        <f t="shared" si="107"/>
        <v>76.41051397957476</v>
      </c>
    </row>
    <row r="366" spans="1:19" s="6" customFormat="1" ht="31.5" customHeight="1">
      <c r="A366" s="38"/>
      <c r="C366" s="26" t="s">
        <v>357</v>
      </c>
      <c r="D366" s="26" t="s">
        <v>358</v>
      </c>
      <c r="E366" s="26" t="s">
        <v>98</v>
      </c>
      <c r="F366" s="27" t="s">
        <v>359</v>
      </c>
      <c r="G366" s="104">
        <f>G367</f>
        <v>31</v>
      </c>
      <c r="H366" s="104">
        <f aca="true" t="shared" si="119" ref="H366:N366">H367</f>
        <v>24</v>
      </c>
      <c r="I366" s="107">
        <f t="shared" si="103"/>
        <v>77.41935483870968</v>
      </c>
      <c r="J366" s="104">
        <f t="shared" si="116"/>
        <v>0</v>
      </c>
      <c r="K366" s="104">
        <f t="shared" si="119"/>
        <v>0</v>
      </c>
      <c r="L366" s="104">
        <f t="shared" si="119"/>
        <v>0</v>
      </c>
      <c r="M366" s="104">
        <f t="shared" si="119"/>
        <v>0</v>
      </c>
      <c r="N366" s="86">
        <f t="shared" si="119"/>
        <v>0</v>
      </c>
      <c r="O366" s="127"/>
      <c r="P366" s="105">
        <f t="shared" si="104"/>
        <v>31</v>
      </c>
      <c r="Q366" s="115">
        <f t="shared" si="105"/>
        <v>24</v>
      </c>
      <c r="R366" s="115">
        <f t="shared" si="106"/>
        <v>-7</v>
      </c>
      <c r="S366" s="126">
        <f t="shared" si="107"/>
        <v>77.41935483870968</v>
      </c>
    </row>
    <row r="367" spans="1:19" s="30" customFormat="1" ht="76.5" customHeight="1">
      <c r="A367" s="55"/>
      <c r="C367" s="26"/>
      <c r="D367" s="26"/>
      <c r="E367" s="26"/>
      <c r="F367" s="27" t="s">
        <v>113</v>
      </c>
      <c r="G367" s="104">
        <v>31</v>
      </c>
      <c r="H367" s="104">
        <v>24</v>
      </c>
      <c r="I367" s="107">
        <f t="shared" si="103"/>
        <v>77.41935483870968</v>
      </c>
      <c r="J367" s="104">
        <f t="shared" si="116"/>
        <v>0</v>
      </c>
      <c r="K367" s="108"/>
      <c r="L367" s="104"/>
      <c r="M367" s="104"/>
      <c r="N367" s="86"/>
      <c r="O367" s="127"/>
      <c r="P367" s="105">
        <f t="shared" si="104"/>
        <v>31</v>
      </c>
      <c r="Q367" s="115">
        <f t="shared" si="105"/>
        <v>24</v>
      </c>
      <c r="R367" s="115">
        <f t="shared" si="106"/>
        <v>-7</v>
      </c>
      <c r="S367" s="126">
        <f t="shared" si="107"/>
        <v>77.41935483870968</v>
      </c>
    </row>
    <row r="368" spans="3:19" s="38" customFormat="1" ht="39.75" customHeight="1" hidden="1">
      <c r="C368" s="24" t="s">
        <v>355</v>
      </c>
      <c r="D368" s="24" t="s">
        <v>326</v>
      </c>
      <c r="E368" s="24"/>
      <c r="F368" s="25" t="s">
        <v>327</v>
      </c>
      <c r="G368" s="105">
        <f>G369</f>
        <v>0</v>
      </c>
      <c r="H368" s="105">
        <f aca="true" t="shared" si="120" ref="H368:N368">H369</f>
        <v>0</v>
      </c>
      <c r="I368" s="107" t="e">
        <f t="shared" si="103"/>
        <v>#DIV/0!</v>
      </c>
      <c r="J368" s="105">
        <f t="shared" si="116"/>
        <v>0</v>
      </c>
      <c r="K368" s="105">
        <f t="shared" si="120"/>
        <v>0</v>
      </c>
      <c r="L368" s="105">
        <f t="shared" si="120"/>
        <v>0</v>
      </c>
      <c r="M368" s="105">
        <f t="shared" si="120"/>
        <v>0</v>
      </c>
      <c r="N368" s="88">
        <f t="shared" si="120"/>
        <v>0</v>
      </c>
      <c r="O368" s="127" t="e">
        <f aca="true" t="shared" si="121" ref="O368:O373">L368/J368*100</f>
        <v>#DIV/0!</v>
      </c>
      <c r="P368" s="105">
        <f t="shared" si="104"/>
        <v>0</v>
      </c>
      <c r="Q368" s="115">
        <f t="shared" si="105"/>
        <v>0</v>
      </c>
      <c r="R368" s="115">
        <f t="shared" si="106"/>
        <v>0</v>
      </c>
      <c r="S368" s="126" t="e">
        <f t="shared" si="107"/>
        <v>#DIV/0!</v>
      </c>
    </row>
    <row r="369" spans="1:19" s="6" customFormat="1" ht="37.5" customHeight="1" hidden="1">
      <c r="A369" s="38"/>
      <c r="C369" s="26" t="s">
        <v>356</v>
      </c>
      <c r="D369" s="26" t="s">
        <v>187</v>
      </c>
      <c r="E369" s="26" t="s">
        <v>46</v>
      </c>
      <c r="F369" s="27" t="s">
        <v>188</v>
      </c>
      <c r="G369" s="104">
        <f>SUM(G370:G372)</f>
        <v>0</v>
      </c>
      <c r="H369" s="104">
        <f>SUM(H370:H372)</f>
        <v>0</v>
      </c>
      <c r="I369" s="107" t="e">
        <f t="shared" si="103"/>
        <v>#DIV/0!</v>
      </c>
      <c r="J369" s="104">
        <f t="shared" si="116"/>
        <v>0</v>
      </c>
      <c r="K369" s="104">
        <f>SUM(K370:K372)</f>
        <v>0</v>
      </c>
      <c r="L369" s="104">
        <f>SUM(L370:L372)</f>
        <v>0</v>
      </c>
      <c r="M369" s="104">
        <f>SUM(M370:M372)</f>
        <v>0</v>
      </c>
      <c r="N369" s="86">
        <f>SUM(N370:N372)</f>
        <v>0</v>
      </c>
      <c r="O369" s="127" t="e">
        <f t="shared" si="121"/>
        <v>#DIV/0!</v>
      </c>
      <c r="P369" s="105">
        <f t="shared" si="104"/>
        <v>0</v>
      </c>
      <c r="Q369" s="115">
        <f t="shared" si="105"/>
        <v>0</v>
      </c>
      <c r="R369" s="115">
        <f t="shared" si="106"/>
        <v>0</v>
      </c>
      <c r="S369" s="126" t="e">
        <f t="shared" si="107"/>
        <v>#DIV/0!</v>
      </c>
    </row>
    <row r="370" spans="2:19" s="15" customFormat="1" ht="60" customHeight="1" hidden="1">
      <c r="B370" s="30"/>
      <c r="C370" s="26"/>
      <c r="D370" s="26"/>
      <c r="E370" s="26"/>
      <c r="F370" s="32" t="s">
        <v>33</v>
      </c>
      <c r="G370" s="104"/>
      <c r="H370" s="108"/>
      <c r="I370" s="107" t="e">
        <f t="shared" si="103"/>
        <v>#DIV/0!</v>
      </c>
      <c r="J370" s="104">
        <f t="shared" si="116"/>
        <v>0</v>
      </c>
      <c r="K370" s="108"/>
      <c r="L370" s="104"/>
      <c r="M370" s="104"/>
      <c r="N370" s="86"/>
      <c r="O370" s="127" t="e">
        <f t="shared" si="121"/>
        <v>#DIV/0!</v>
      </c>
      <c r="P370" s="105">
        <f t="shared" si="104"/>
        <v>0</v>
      </c>
      <c r="Q370" s="115">
        <f t="shared" si="105"/>
        <v>0</v>
      </c>
      <c r="R370" s="115">
        <f t="shared" si="106"/>
        <v>0</v>
      </c>
      <c r="S370" s="126" t="e">
        <f t="shared" si="107"/>
        <v>#DIV/0!</v>
      </c>
    </row>
    <row r="371" spans="2:19" s="15" customFormat="1" ht="78" customHeight="1" hidden="1">
      <c r="B371" s="30"/>
      <c r="C371" s="26"/>
      <c r="D371" s="26"/>
      <c r="E371" s="26"/>
      <c r="F371" s="32" t="s">
        <v>37</v>
      </c>
      <c r="G371" s="104"/>
      <c r="H371" s="108"/>
      <c r="I371" s="107" t="e">
        <f t="shared" si="103"/>
        <v>#DIV/0!</v>
      </c>
      <c r="J371" s="104">
        <f t="shared" si="116"/>
        <v>0</v>
      </c>
      <c r="K371" s="108"/>
      <c r="L371" s="104"/>
      <c r="M371" s="104"/>
      <c r="N371" s="86"/>
      <c r="O371" s="127" t="e">
        <f t="shared" si="121"/>
        <v>#DIV/0!</v>
      </c>
      <c r="P371" s="105">
        <f t="shared" si="104"/>
        <v>0</v>
      </c>
      <c r="Q371" s="115">
        <f t="shared" si="105"/>
        <v>0</v>
      </c>
      <c r="R371" s="115">
        <f t="shared" si="106"/>
        <v>0</v>
      </c>
      <c r="S371" s="126" t="e">
        <f t="shared" si="107"/>
        <v>#DIV/0!</v>
      </c>
    </row>
    <row r="372" spans="3:19" s="15" customFormat="1" ht="195" customHeight="1" hidden="1">
      <c r="C372" s="26"/>
      <c r="D372" s="26"/>
      <c r="E372" s="26"/>
      <c r="F372" s="32" t="s">
        <v>138</v>
      </c>
      <c r="G372" s="104"/>
      <c r="H372" s="108"/>
      <c r="I372" s="107" t="e">
        <f t="shared" si="103"/>
        <v>#DIV/0!</v>
      </c>
      <c r="J372" s="104">
        <f t="shared" si="116"/>
        <v>0</v>
      </c>
      <c r="K372" s="108"/>
      <c r="L372" s="104"/>
      <c r="M372" s="104"/>
      <c r="N372" s="86"/>
      <c r="O372" s="127" t="e">
        <f t="shared" si="121"/>
        <v>#DIV/0!</v>
      </c>
      <c r="P372" s="105">
        <f t="shared" si="104"/>
        <v>0</v>
      </c>
      <c r="Q372" s="115">
        <f t="shared" si="105"/>
        <v>0</v>
      </c>
      <c r="R372" s="115">
        <f t="shared" si="106"/>
        <v>0</v>
      </c>
      <c r="S372" s="126" t="e">
        <f t="shared" si="107"/>
        <v>#DIV/0!</v>
      </c>
    </row>
    <row r="373" spans="3:19" s="69" customFormat="1" ht="27.75" customHeight="1">
      <c r="C373" s="70"/>
      <c r="D373" s="70"/>
      <c r="E373" s="70"/>
      <c r="F373" s="76" t="s">
        <v>9</v>
      </c>
      <c r="G373" s="109">
        <f>G355+G361+G368+G358</f>
        <v>2810.2</v>
      </c>
      <c r="H373" s="109">
        <f>H355+H361+H368+H358</f>
        <v>2346.6</v>
      </c>
      <c r="I373" s="107">
        <f t="shared" si="103"/>
        <v>83.5029535264394</v>
      </c>
      <c r="J373" s="109">
        <f>J355+J361+J368+J358</f>
        <v>978.5</v>
      </c>
      <c r="K373" s="109">
        <f>K355+K361+K368+K358</f>
        <v>0</v>
      </c>
      <c r="L373" s="109">
        <f>L355+L361+L368+L358</f>
        <v>704.5</v>
      </c>
      <c r="M373" s="109">
        <f>M355+M361+M368+M358</f>
        <v>704.5</v>
      </c>
      <c r="N373" s="89" t="e">
        <f>N355+N361+N368+N358</f>
        <v>#REF!</v>
      </c>
      <c r="O373" s="127">
        <f t="shared" si="121"/>
        <v>71.9979560551865</v>
      </c>
      <c r="P373" s="105">
        <f t="shared" si="104"/>
        <v>3788.7</v>
      </c>
      <c r="Q373" s="115">
        <f t="shared" si="105"/>
        <v>3051.1</v>
      </c>
      <c r="R373" s="115">
        <f t="shared" si="106"/>
        <v>-737.5999999999999</v>
      </c>
      <c r="S373" s="126">
        <f t="shared" si="107"/>
        <v>80.53158075329269</v>
      </c>
    </row>
    <row r="374" spans="3:19" s="38" customFormat="1" ht="48.75" customHeight="1">
      <c r="C374" s="24" t="s">
        <v>165</v>
      </c>
      <c r="D374" s="24"/>
      <c r="E374" s="24"/>
      <c r="F374" s="36" t="s">
        <v>622</v>
      </c>
      <c r="G374" s="105"/>
      <c r="H374" s="105"/>
      <c r="I374" s="107"/>
      <c r="J374" s="105"/>
      <c r="K374" s="105"/>
      <c r="L374" s="105"/>
      <c r="M374" s="105"/>
      <c r="N374" s="88"/>
      <c r="O374" s="127"/>
      <c r="P374" s="105"/>
      <c r="Q374" s="115"/>
      <c r="R374" s="115"/>
      <c r="S374" s="126"/>
    </row>
    <row r="375" spans="3:19" s="6" customFormat="1" ht="45.75" customHeight="1">
      <c r="C375" s="24" t="s">
        <v>166</v>
      </c>
      <c r="D375" s="26"/>
      <c r="E375" s="26"/>
      <c r="F375" s="34" t="s">
        <v>623</v>
      </c>
      <c r="G375" s="104"/>
      <c r="H375" s="104"/>
      <c r="I375" s="107"/>
      <c r="J375" s="104"/>
      <c r="K375" s="104"/>
      <c r="L375" s="104"/>
      <c r="M375" s="104"/>
      <c r="N375" s="86"/>
      <c r="O375" s="127"/>
      <c r="P375" s="105"/>
      <c r="Q375" s="115"/>
      <c r="R375" s="115"/>
      <c r="S375" s="126"/>
    </row>
    <row r="376" spans="3:19" s="38" customFormat="1" ht="27.75" customHeight="1">
      <c r="C376" s="24"/>
      <c r="D376" s="24"/>
      <c r="E376" s="24"/>
      <c r="F376" s="25" t="s">
        <v>331</v>
      </c>
      <c r="G376" s="105">
        <f>G377</f>
        <v>7142</v>
      </c>
      <c r="H376" s="105">
        <f>H377</f>
        <v>2840.1</v>
      </c>
      <c r="I376" s="107">
        <f t="shared" si="103"/>
        <v>39.76617194063288</v>
      </c>
      <c r="J376" s="105">
        <f>K376+N376</f>
        <v>0</v>
      </c>
      <c r="K376" s="105">
        <f aca="true" t="shared" si="122" ref="K376:N377">K377</f>
        <v>0</v>
      </c>
      <c r="L376" s="105">
        <f t="shared" si="122"/>
        <v>0</v>
      </c>
      <c r="M376" s="105">
        <f t="shared" si="122"/>
        <v>0</v>
      </c>
      <c r="N376" s="88">
        <f t="shared" si="122"/>
        <v>0</v>
      </c>
      <c r="O376" s="127"/>
      <c r="P376" s="105">
        <f t="shared" si="104"/>
        <v>7142</v>
      </c>
      <c r="Q376" s="115">
        <f t="shared" si="105"/>
        <v>2840.1</v>
      </c>
      <c r="R376" s="115">
        <f t="shared" si="106"/>
        <v>-4301.9</v>
      </c>
      <c r="S376" s="126">
        <f t="shared" si="107"/>
        <v>39.76617194063288</v>
      </c>
    </row>
    <row r="377" spans="1:19" s="6" customFormat="1" ht="72" customHeight="1">
      <c r="A377" s="6">
        <v>6</v>
      </c>
      <c r="B377" s="6">
        <v>45</v>
      </c>
      <c r="C377" s="26" t="s">
        <v>432</v>
      </c>
      <c r="D377" s="26" t="s">
        <v>51</v>
      </c>
      <c r="E377" s="26" t="s">
        <v>47</v>
      </c>
      <c r="F377" s="27" t="s">
        <v>153</v>
      </c>
      <c r="G377" s="104">
        <f>G378</f>
        <v>7142</v>
      </c>
      <c r="H377" s="104">
        <f>H378</f>
        <v>2840.1</v>
      </c>
      <c r="I377" s="107">
        <f t="shared" si="103"/>
        <v>39.76617194063288</v>
      </c>
      <c r="J377" s="104">
        <f aca="true" t="shared" si="123" ref="J377:J397">K377+N377</f>
        <v>0</v>
      </c>
      <c r="K377" s="104">
        <f t="shared" si="122"/>
        <v>0</v>
      </c>
      <c r="L377" s="104">
        <f t="shared" si="122"/>
        <v>0</v>
      </c>
      <c r="M377" s="104">
        <f t="shared" si="122"/>
        <v>0</v>
      </c>
      <c r="N377" s="86">
        <f t="shared" si="122"/>
        <v>0</v>
      </c>
      <c r="O377" s="127"/>
      <c r="P377" s="105">
        <f t="shared" si="104"/>
        <v>7142</v>
      </c>
      <c r="Q377" s="115">
        <f t="shared" si="105"/>
        <v>2840.1</v>
      </c>
      <c r="R377" s="115">
        <f t="shared" si="106"/>
        <v>-4301.9</v>
      </c>
      <c r="S377" s="126">
        <f t="shared" si="107"/>
        <v>39.76617194063288</v>
      </c>
    </row>
    <row r="378" spans="3:19" s="30" customFormat="1" ht="46.5" customHeight="1">
      <c r="C378" s="26"/>
      <c r="D378" s="26"/>
      <c r="E378" s="26"/>
      <c r="F378" s="27" t="s">
        <v>167</v>
      </c>
      <c r="G378" s="104">
        <v>7142</v>
      </c>
      <c r="H378" s="106">
        <v>2840.1</v>
      </c>
      <c r="I378" s="107">
        <f t="shared" si="103"/>
        <v>39.76617194063288</v>
      </c>
      <c r="J378" s="104">
        <f t="shared" si="123"/>
        <v>0</v>
      </c>
      <c r="K378" s="106"/>
      <c r="L378" s="106"/>
      <c r="M378" s="106"/>
      <c r="N378" s="90"/>
      <c r="O378" s="127"/>
      <c r="P378" s="105">
        <f t="shared" si="104"/>
        <v>7142</v>
      </c>
      <c r="Q378" s="115">
        <f t="shared" si="105"/>
        <v>2840.1</v>
      </c>
      <c r="R378" s="115">
        <f t="shared" si="106"/>
        <v>-4301.9</v>
      </c>
      <c r="S378" s="126">
        <f t="shared" si="107"/>
        <v>39.76617194063288</v>
      </c>
    </row>
    <row r="379" spans="3:19" s="30" customFormat="1" ht="46.5" customHeight="1" hidden="1">
      <c r="C379" s="67" t="s">
        <v>433</v>
      </c>
      <c r="D379" s="67" t="s">
        <v>293</v>
      </c>
      <c r="E379" s="67"/>
      <c r="F379" s="52" t="s">
        <v>294</v>
      </c>
      <c r="G379" s="105">
        <f>G380</f>
        <v>0</v>
      </c>
      <c r="H379" s="105">
        <f aca="true" t="shared" si="124" ref="H379:N379">H380</f>
        <v>0</v>
      </c>
      <c r="I379" s="107" t="e">
        <f t="shared" si="103"/>
        <v>#DIV/0!</v>
      </c>
      <c r="J379" s="105">
        <f>J380</f>
        <v>0</v>
      </c>
      <c r="K379" s="105">
        <f t="shared" si="124"/>
        <v>0</v>
      </c>
      <c r="L379" s="105">
        <f t="shared" si="124"/>
        <v>0</v>
      </c>
      <c r="M379" s="105">
        <f t="shared" si="124"/>
        <v>0</v>
      </c>
      <c r="N379" s="49">
        <f t="shared" si="124"/>
        <v>0</v>
      </c>
      <c r="O379" s="127"/>
      <c r="P379" s="105">
        <f t="shared" si="104"/>
        <v>0</v>
      </c>
      <c r="Q379" s="115">
        <f t="shared" si="105"/>
        <v>0</v>
      </c>
      <c r="R379" s="115">
        <f t="shared" si="106"/>
        <v>0</v>
      </c>
      <c r="S379" s="126" t="e">
        <f t="shared" si="107"/>
        <v>#DIV/0!</v>
      </c>
    </row>
    <row r="380" spans="3:19" s="30" customFormat="1" ht="46.5" customHeight="1" hidden="1">
      <c r="C380" s="4" t="s">
        <v>434</v>
      </c>
      <c r="D380" s="4" t="s">
        <v>123</v>
      </c>
      <c r="E380" s="4" t="s">
        <v>124</v>
      </c>
      <c r="F380" s="32" t="s">
        <v>374</v>
      </c>
      <c r="G380" s="104">
        <f>G381</f>
        <v>0</v>
      </c>
      <c r="H380" s="104">
        <f>H381</f>
        <v>0</v>
      </c>
      <c r="I380" s="107" t="e">
        <f t="shared" si="103"/>
        <v>#DIV/0!</v>
      </c>
      <c r="J380" s="104">
        <f>J381</f>
        <v>0</v>
      </c>
      <c r="K380" s="104">
        <f>K381</f>
        <v>0</v>
      </c>
      <c r="L380" s="104">
        <f>L381</f>
        <v>0</v>
      </c>
      <c r="M380" s="104">
        <f>M381</f>
        <v>0</v>
      </c>
      <c r="N380" s="12">
        <f>N381</f>
        <v>0</v>
      </c>
      <c r="O380" s="127"/>
      <c r="P380" s="105">
        <f t="shared" si="104"/>
        <v>0</v>
      </c>
      <c r="Q380" s="115">
        <f t="shared" si="105"/>
        <v>0</v>
      </c>
      <c r="R380" s="115">
        <f t="shared" si="106"/>
        <v>0</v>
      </c>
      <c r="S380" s="126" t="e">
        <f t="shared" si="107"/>
        <v>#DIV/0!</v>
      </c>
    </row>
    <row r="381" spans="3:19" s="30" customFormat="1" ht="141" customHeight="1" hidden="1">
      <c r="C381" s="4"/>
      <c r="D381" s="4"/>
      <c r="E381" s="4"/>
      <c r="F381" s="32" t="s">
        <v>538</v>
      </c>
      <c r="G381" s="104"/>
      <c r="H381" s="104"/>
      <c r="I381" s="107" t="e">
        <f t="shared" si="103"/>
        <v>#DIV/0!</v>
      </c>
      <c r="J381" s="104">
        <f>J382</f>
        <v>0</v>
      </c>
      <c r="K381" s="104"/>
      <c r="L381" s="104"/>
      <c r="M381" s="104"/>
      <c r="N381" s="86"/>
      <c r="O381" s="127"/>
      <c r="P381" s="105">
        <f t="shared" si="104"/>
        <v>0</v>
      </c>
      <c r="Q381" s="115">
        <f t="shared" si="105"/>
        <v>0</v>
      </c>
      <c r="R381" s="115">
        <f t="shared" si="106"/>
        <v>0</v>
      </c>
      <c r="S381" s="126" t="e">
        <f t="shared" si="107"/>
        <v>#DIV/0!</v>
      </c>
    </row>
    <row r="382" spans="3:19" s="38" customFormat="1" ht="34.5" customHeight="1" hidden="1">
      <c r="C382" s="24" t="s">
        <v>362</v>
      </c>
      <c r="D382" s="24" t="s">
        <v>321</v>
      </c>
      <c r="E382" s="24"/>
      <c r="F382" s="25" t="s">
        <v>322</v>
      </c>
      <c r="G382" s="105">
        <f>G383+G385</f>
        <v>0</v>
      </c>
      <c r="H382" s="105">
        <f aca="true" t="shared" si="125" ref="H382:N382">H383+H385</f>
        <v>0</v>
      </c>
      <c r="I382" s="107" t="e">
        <f aca="true" t="shared" si="126" ref="I382:I399">H382/G382*100</f>
        <v>#DIV/0!</v>
      </c>
      <c r="J382" s="105">
        <f t="shared" si="123"/>
        <v>0</v>
      </c>
      <c r="K382" s="105">
        <f t="shared" si="125"/>
        <v>0</v>
      </c>
      <c r="L382" s="105">
        <f t="shared" si="125"/>
        <v>0</v>
      </c>
      <c r="M382" s="105">
        <f t="shared" si="125"/>
        <v>0</v>
      </c>
      <c r="N382" s="88">
        <f t="shared" si="125"/>
        <v>0</v>
      </c>
      <c r="O382" s="127"/>
      <c r="P382" s="105">
        <f aca="true" t="shared" si="127" ref="P382:P399">G382+J382</f>
        <v>0</v>
      </c>
      <c r="Q382" s="115">
        <f aca="true" t="shared" si="128" ref="Q382:Q399">H382+L382</f>
        <v>0</v>
      </c>
      <c r="R382" s="115">
        <f aca="true" t="shared" si="129" ref="R382:R399">Q382-P382</f>
        <v>0</v>
      </c>
      <c r="S382" s="126" t="e">
        <f aca="true" t="shared" si="130" ref="S382:S399">Q382/P382*100</f>
        <v>#DIV/0!</v>
      </c>
    </row>
    <row r="383" spans="3:19" s="6" customFormat="1" ht="28.5" customHeight="1" hidden="1">
      <c r="C383" s="26" t="s">
        <v>365</v>
      </c>
      <c r="D383" s="26" t="s">
        <v>366</v>
      </c>
      <c r="E383" s="26"/>
      <c r="F383" s="27" t="s">
        <v>367</v>
      </c>
      <c r="G383" s="104">
        <f>G384</f>
        <v>0</v>
      </c>
      <c r="H383" s="104">
        <f aca="true" t="shared" si="131" ref="H383:N383">H384</f>
        <v>0</v>
      </c>
      <c r="I383" s="107" t="e">
        <f t="shared" si="126"/>
        <v>#DIV/0!</v>
      </c>
      <c r="J383" s="104">
        <f t="shared" si="123"/>
        <v>0</v>
      </c>
      <c r="K383" s="104">
        <f t="shared" si="131"/>
        <v>0</v>
      </c>
      <c r="L383" s="104">
        <f t="shared" si="131"/>
        <v>0</v>
      </c>
      <c r="M383" s="104">
        <f t="shared" si="131"/>
        <v>0</v>
      </c>
      <c r="N383" s="86">
        <f t="shared" si="131"/>
        <v>0</v>
      </c>
      <c r="O383" s="127"/>
      <c r="P383" s="105">
        <f t="shared" si="127"/>
        <v>0</v>
      </c>
      <c r="Q383" s="115">
        <f t="shared" si="128"/>
        <v>0</v>
      </c>
      <c r="R383" s="115">
        <f t="shared" si="129"/>
        <v>0</v>
      </c>
      <c r="S383" s="126" t="e">
        <f t="shared" si="130"/>
        <v>#DIV/0!</v>
      </c>
    </row>
    <row r="384" spans="3:19" s="30" customFormat="1" ht="265.5" customHeight="1" hidden="1">
      <c r="C384" s="26" t="s">
        <v>363</v>
      </c>
      <c r="D384" s="26" t="s">
        <v>364</v>
      </c>
      <c r="E384" s="26" t="s">
        <v>128</v>
      </c>
      <c r="F384" s="27" t="s">
        <v>624</v>
      </c>
      <c r="G384" s="104"/>
      <c r="H384" s="106"/>
      <c r="I384" s="107" t="e">
        <f t="shared" si="126"/>
        <v>#DIV/0!</v>
      </c>
      <c r="J384" s="104">
        <f t="shared" si="123"/>
        <v>0</v>
      </c>
      <c r="K384" s="106"/>
      <c r="L384" s="106"/>
      <c r="M384" s="106"/>
      <c r="N384" s="90"/>
      <c r="O384" s="127"/>
      <c r="P384" s="105">
        <f t="shared" si="127"/>
        <v>0</v>
      </c>
      <c r="Q384" s="115">
        <f t="shared" si="128"/>
        <v>0</v>
      </c>
      <c r="R384" s="115">
        <f t="shared" si="129"/>
        <v>0</v>
      </c>
      <c r="S384" s="126" t="e">
        <f t="shared" si="130"/>
        <v>#DIV/0!</v>
      </c>
    </row>
    <row r="385" spans="3:19" s="6" customFormat="1" ht="43.5" customHeight="1" hidden="1">
      <c r="C385" s="26" t="s">
        <v>428</v>
      </c>
      <c r="D385" s="26" t="s">
        <v>429</v>
      </c>
      <c r="E385" s="26" t="s">
        <v>128</v>
      </c>
      <c r="F385" s="27" t="s">
        <v>430</v>
      </c>
      <c r="G385" s="104">
        <f>G386</f>
        <v>0</v>
      </c>
      <c r="H385" s="104">
        <f aca="true" t="shared" si="132" ref="H385:N385">H386</f>
        <v>0</v>
      </c>
      <c r="I385" s="107" t="e">
        <f t="shared" si="126"/>
        <v>#DIV/0!</v>
      </c>
      <c r="J385" s="104">
        <f t="shared" si="123"/>
        <v>0</v>
      </c>
      <c r="K385" s="104">
        <f t="shared" si="132"/>
        <v>0</v>
      </c>
      <c r="L385" s="104">
        <f t="shared" si="132"/>
        <v>0</v>
      </c>
      <c r="M385" s="104">
        <f t="shared" si="132"/>
        <v>0</v>
      </c>
      <c r="N385" s="86">
        <f t="shared" si="132"/>
        <v>0</v>
      </c>
      <c r="O385" s="127"/>
      <c r="P385" s="105">
        <f t="shared" si="127"/>
        <v>0</v>
      </c>
      <c r="Q385" s="115">
        <f t="shared" si="128"/>
        <v>0</v>
      </c>
      <c r="R385" s="115">
        <f t="shared" si="129"/>
        <v>0</v>
      </c>
      <c r="S385" s="126" t="e">
        <f t="shared" si="130"/>
        <v>#DIV/0!</v>
      </c>
    </row>
    <row r="386" spans="3:19" s="30" customFormat="1" ht="99" customHeight="1" hidden="1">
      <c r="C386" s="26"/>
      <c r="D386" s="26"/>
      <c r="E386" s="26"/>
      <c r="F386" s="27" t="s">
        <v>431</v>
      </c>
      <c r="G386" s="104">
        <f>21675+11131.8-32806.8</f>
        <v>0</v>
      </c>
      <c r="H386" s="106"/>
      <c r="I386" s="107" t="e">
        <f t="shared" si="126"/>
        <v>#DIV/0!</v>
      </c>
      <c r="J386" s="104">
        <f t="shared" si="123"/>
        <v>0</v>
      </c>
      <c r="K386" s="106"/>
      <c r="L386" s="106"/>
      <c r="M386" s="106"/>
      <c r="N386" s="90"/>
      <c r="O386" s="127"/>
      <c r="P386" s="105">
        <f t="shared" si="127"/>
        <v>0</v>
      </c>
      <c r="Q386" s="115">
        <f t="shared" si="128"/>
        <v>0</v>
      </c>
      <c r="R386" s="115">
        <f t="shared" si="129"/>
        <v>0</v>
      </c>
      <c r="S386" s="126" t="e">
        <f t="shared" si="130"/>
        <v>#DIV/0!</v>
      </c>
    </row>
    <row r="387" spans="3:19" s="38" customFormat="1" ht="30.75" customHeight="1">
      <c r="C387" s="24"/>
      <c r="D387" s="24"/>
      <c r="E387" s="24"/>
      <c r="F387" s="25" t="s">
        <v>361</v>
      </c>
      <c r="G387" s="105">
        <f>G388+G390</f>
        <v>288.1</v>
      </c>
      <c r="H387" s="105">
        <f aca="true" t="shared" si="133" ref="H387:N387">H388+H390</f>
        <v>0</v>
      </c>
      <c r="I387" s="107">
        <f t="shared" si="126"/>
        <v>0</v>
      </c>
      <c r="J387" s="105">
        <f t="shared" si="123"/>
        <v>0</v>
      </c>
      <c r="K387" s="105">
        <f t="shared" si="133"/>
        <v>0</v>
      </c>
      <c r="L387" s="105">
        <f t="shared" si="133"/>
        <v>0</v>
      </c>
      <c r="M387" s="105">
        <f t="shared" si="133"/>
        <v>0</v>
      </c>
      <c r="N387" s="49">
        <f t="shared" si="133"/>
        <v>0</v>
      </c>
      <c r="O387" s="127"/>
      <c r="P387" s="105">
        <f t="shared" si="127"/>
        <v>288.1</v>
      </c>
      <c r="Q387" s="115">
        <f t="shared" si="128"/>
        <v>0</v>
      </c>
      <c r="R387" s="115">
        <f t="shared" si="129"/>
        <v>-288.1</v>
      </c>
      <c r="S387" s="126">
        <f t="shared" si="130"/>
        <v>0</v>
      </c>
    </row>
    <row r="388" spans="3:19" s="6" customFormat="1" ht="30" customHeight="1" hidden="1">
      <c r="C388" s="26" t="s">
        <v>368</v>
      </c>
      <c r="D388" s="26" t="s">
        <v>168</v>
      </c>
      <c r="E388" s="26"/>
      <c r="F388" s="27" t="s">
        <v>169</v>
      </c>
      <c r="G388" s="104">
        <f>G389</f>
        <v>0</v>
      </c>
      <c r="H388" s="104">
        <f aca="true" t="shared" si="134" ref="H388:N388">H389</f>
        <v>0</v>
      </c>
      <c r="I388" s="107" t="e">
        <f t="shared" si="126"/>
        <v>#DIV/0!</v>
      </c>
      <c r="J388" s="104">
        <f t="shared" si="123"/>
        <v>0</v>
      </c>
      <c r="K388" s="104">
        <f t="shared" si="134"/>
        <v>0</v>
      </c>
      <c r="L388" s="104">
        <f t="shared" si="134"/>
        <v>0</v>
      </c>
      <c r="M388" s="104">
        <f t="shared" si="134"/>
        <v>0</v>
      </c>
      <c r="N388" s="86">
        <f t="shared" si="134"/>
        <v>0</v>
      </c>
      <c r="O388" s="127"/>
      <c r="P388" s="105">
        <f t="shared" si="127"/>
        <v>0</v>
      </c>
      <c r="Q388" s="115">
        <f t="shared" si="128"/>
        <v>0</v>
      </c>
      <c r="R388" s="115">
        <f t="shared" si="129"/>
        <v>0</v>
      </c>
      <c r="S388" s="126" t="e">
        <f t="shared" si="130"/>
        <v>#DIV/0!</v>
      </c>
    </row>
    <row r="389" spans="3:19" s="30" customFormat="1" ht="108" customHeight="1" hidden="1">
      <c r="C389" s="26" t="s">
        <v>369</v>
      </c>
      <c r="D389" s="26" t="s">
        <v>103</v>
      </c>
      <c r="E389" s="26" t="s">
        <v>49</v>
      </c>
      <c r="F389" s="27" t="s">
        <v>370</v>
      </c>
      <c r="G389" s="104"/>
      <c r="H389" s="106"/>
      <c r="I389" s="107" t="e">
        <f t="shared" si="126"/>
        <v>#DIV/0!</v>
      </c>
      <c r="J389" s="104">
        <f>K389+N389</f>
        <v>0</v>
      </c>
      <c r="K389" s="106"/>
      <c r="L389" s="106"/>
      <c r="M389" s="106"/>
      <c r="N389" s="90"/>
      <c r="O389" s="127"/>
      <c r="P389" s="105">
        <f t="shared" si="127"/>
        <v>0</v>
      </c>
      <c r="Q389" s="115">
        <f t="shared" si="128"/>
        <v>0</v>
      </c>
      <c r="R389" s="115">
        <f t="shared" si="129"/>
        <v>0</v>
      </c>
      <c r="S389" s="126" t="e">
        <f t="shared" si="130"/>
        <v>#DIV/0!</v>
      </c>
    </row>
    <row r="390" spans="3:19" s="30" customFormat="1" ht="46.5" customHeight="1">
      <c r="C390" s="26" t="s">
        <v>504</v>
      </c>
      <c r="D390" s="26" t="s">
        <v>422</v>
      </c>
      <c r="E390" s="26" t="s">
        <v>49</v>
      </c>
      <c r="F390" s="34" t="s">
        <v>317</v>
      </c>
      <c r="G390" s="104">
        <f>G391</f>
        <v>288.1</v>
      </c>
      <c r="H390" s="104">
        <f aca="true" t="shared" si="135" ref="H390:N390">H391</f>
        <v>0</v>
      </c>
      <c r="I390" s="107">
        <f t="shared" si="126"/>
        <v>0</v>
      </c>
      <c r="J390" s="104">
        <f>K390+N390</f>
        <v>0</v>
      </c>
      <c r="K390" s="104">
        <f t="shared" si="135"/>
        <v>0</v>
      </c>
      <c r="L390" s="104">
        <f t="shared" si="135"/>
        <v>0</v>
      </c>
      <c r="M390" s="104">
        <f t="shared" si="135"/>
        <v>0</v>
      </c>
      <c r="N390" s="12">
        <f t="shared" si="135"/>
        <v>0</v>
      </c>
      <c r="O390" s="127"/>
      <c r="P390" s="105">
        <f t="shared" si="127"/>
        <v>288.1</v>
      </c>
      <c r="Q390" s="115">
        <f t="shared" si="128"/>
        <v>0</v>
      </c>
      <c r="R390" s="115">
        <f t="shared" si="129"/>
        <v>-288.1</v>
      </c>
      <c r="S390" s="126">
        <f t="shared" si="130"/>
        <v>0</v>
      </c>
    </row>
    <row r="391" spans="3:19" s="30" customFormat="1" ht="42" customHeight="1">
      <c r="C391" s="26"/>
      <c r="D391" s="26"/>
      <c r="E391" s="26"/>
      <c r="F391" s="34" t="s">
        <v>505</v>
      </c>
      <c r="G391" s="104">
        <v>288.1</v>
      </c>
      <c r="H391" s="106"/>
      <c r="I391" s="107">
        <f t="shared" si="126"/>
        <v>0</v>
      </c>
      <c r="J391" s="104">
        <f>K391+N391</f>
        <v>0</v>
      </c>
      <c r="K391" s="106"/>
      <c r="L391" s="106"/>
      <c r="M391" s="106"/>
      <c r="N391" s="90"/>
      <c r="O391" s="127"/>
      <c r="P391" s="105">
        <f t="shared" si="127"/>
        <v>288.1</v>
      </c>
      <c r="Q391" s="115">
        <f t="shared" si="128"/>
        <v>0</v>
      </c>
      <c r="R391" s="115">
        <f t="shared" si="129"/>
        <v>-288.1</v>
      </c>
      <c r="S391" s="126">
        <f t="shared" si="130"/>
        <v>0</v>
      </c>
    </row>
    <row r="392" spans="3:19" s="38" customFormat="1" ht="25.5" customHeight="1">
      <c r="C392" s="24"/>
      <c r="D392" s="24"/>
      <c r="E392" s="24"/>
      <c r="F392" s="25" t="s">
        <v>325</v>
      </c>
      <c r="G392" s="105">
        <f>G395+G393</f>
        <v>10</v>
      </c>
      <c r="H392" s="105">
        <f aca="true" t="shared" si="136" ref="H392:N392">H395+H393</f>
        <v>0</v>
      </c>
      <c r="I392" s="107">
        <f t="shared" si="126"/>
        <v>0</v>
      </c>
      <c r="J392" s="105">
        <f t="shared" si="123"/>
        <v>0</v>
      </c>
      <c r="K392" s="105">
        <f t="shared" si="136"/>
        <v>0</v>
      </c>
      <c r="L392" s="105">
        <f t="shared" si="136"/>
        <v>0</v>
      </c>
      <c r="M392" s="105">
        <f t="shared" si="136"/>
        <v>0</v>
      </c>
      <c r="N392" s="49">
        <f t="shared" si="136"/>
        <v>0</v>
      </c>
      <c r="O392" s="127"/>
      <c r="P392" s="105">
        <f t="shared" si="127"/>
        <v>10</v>
      </c>
      <c r="Q392" s="115">
        <f t="shared" si="128"/>
        <v>0</v>
      </c>
      <c r="R392" s="115">
        <f t="shared" si="129"/>
        <v>-10</v>
      </c>
      <c r="S392" s="126">
        <f t="shared" si="130"/>
        <v>0</v>
      </c>
    </row>
    <row r="393" spans="3:19" s="38" customFormat="1" ht="43.5" customHeight="1" hidden="1">
      <c r="C393" s="24" t="s">
        <v>464</v>
      </c>
      <c r="D393" s="24" t="s">
        <v>465</v>
      </c>
      <c r="E393" s="24" t="s">
        <v>59</v>
      </c>
      <c r="F393" s="25" t="s">
        <v>466</v>
      </c>
      <c r="G393" s="105">
        <f>G394</f>
        <v>0</v>
      </c>
      <c r="H393" s="105">
        <f aca="true" t="shared" si="137" ref="H393:N393">H394</f>
        <v>0</v>
      </c>
      <c r="I393" s="107" t="e">
        <f t="shared" si="126"/>
        <v>#DIV/0!</v>
      </c>
      <c r="J393" s="105">
        <f t="shared" si="123"/>
        <v>0</v>
      </c>
      <c r="K393" s="105">
        <f t="shared" si="137"/>
        <v>0</v>
      </c>
      <c r="L393" s="105">
        <f t="shared" si="137"/>
        <v>0</v>
      </c>
      <c r="M393" s="105">
        <f t="shared" si="137"/>
        <v>0</v>
      </c>
      <c r="N393" s="49">
        <f t="shared" si="137"/>
        <v>0</v>
      </c>
      <c r="O393" s="127"/>
      <c r="P393" s="105">
        <f t="shared" si="127"/>
        <v>0</v>
      </c>
      <c r="Q393" s="115">
        <f t="shared" si="128"/>
        <v>0</v>
      </c>
      <c r="R393" s="115">
        <f t="shared" si="129"/>
        <v>0</v>
      </c>
      <c r="S393" s="126" t="e">
        <f t="shared" si="130"/>
        <v>#DIV/0!</v>
      </c>
    </row>
    <row r="394" spans="3:19" s="38" customFormat="1" ht="96.75" customHeight="1" hidden="1">
      <c r="C394" s="24"/>
      <c r="D394" s="24"/>
      <c r="E394" s="24"/>
      <c r="F394" s="27" t="s">
        <v>467</v>
      </c>
      <c r="G394" s="104">
        <v>0</v>
      </c>
      <c r="H394" s="104"/>
      <c r="I394" s="107" t="e">
        <f t="shared" si="126"/>
        <v>#DIV/0!</v>
      </c>
      <c r="J394" s="104">
        <f t="shared" si="123"/>
        <v>0</v>
      </c>
      <c r="K394" s="105"/>
      <c r="L394" s="105"/>
      <c r="M394" s="105"/>
      <c r="N394" s="88"/>
      <c r="O394" s="127"/>
      <c r="P394" s="105">
        <f t="shared" si="127"/>
        <v>0</v>
      </c>
      <c r="Q394" s="115">
        <f t="shared" si="128"/>
        <v>0</v>
      </c>
      <c r="R394" s="115">
        <f t="shared" si="129"/>
        <v>0</v>
      </c>
      <c r="S394" s="126" t="e">
        <f t="shared" si="130"/>
        <v>#DIV/0!</v>
      </c>
    </row>
    <row r="395" spans="1:19" s="14" customFormat="1" ht="33" customHeight="1">
      <c r="A395" s="14">
        <v>2</v>
      </c>
      <c r="B395" s="6">
        <v>46</v>
      </c>
      <c r="C395" s="26" t="s">
        <v>371</v>
      </c>
      <c r="D395" s="26" t="s">
        <v>547</v>
      </c>
      <c r="E395" s="26" t="s">
        <v>59</v>
      </c>
      <c r="F395" s="27" t="s">
        <v>0</v>
      </c>
      <c r="G395" s="104">
        <v>10</v>
      </c>
      <c r="H395" s="106"/>
      <c r="I395" s="107"/>
      <c r="J395" s="104">
        <f t="shared" si="123"/>
        <v>0</v>
      </c>
      <c r="K395" s="106"/>
      <c r="L395" s="106"/>
      <c r="M395" s="106"/>
      <c r="N395" s="90"/>
      <c r="O395" s="127"/>
      <c r="P395" s="105">
        <f t="shared" si="127"/>
        <v>10</v>
      </c>
      <c r="Q395" s="115">
        <f t="shared" si="128"/>
        <v>0</v>
      </c>
      <c r="R395" s="115">
        <f t="shared" si="129"/>
        <v>-10</v>
      </c>
      <c r="S395" s="126">
        <f t="shared" si="130"/>
        <v>0</v>
      </c>
    </row>
    <row r="396" spans="2:19" s="51" customFormat="1" ht="29.25" customHeight="1">
      <c r="B396" s="38"/>
      <c r="C396" s="24"/>
      <c r="D396" s="24"/>
      <c r="E396" s="24"/>
      <c r="F396" s="25" t="s">
        <v>327</v>
      </c>
      <c r="G396" s="105">
        <f>G397</f>
        <v>43894.3</v>
      </c>
      <c r="H396" s="105">
        <f>H397</f>
        <v>32920.8</v>
      </c>
      <c r="I396" s="107">
        <f t="shared" si="126"/>
        <v>75.0001708650098</v>
      </c>
      <c r="J396" s="105">
        <f>J397</f>
        <v>0</v>
      </c>
      <c r="K396" s="105">
        <f>K397</f>
        <v>0</v>
      </c>
      <c r="L396" s="105">
        <f>L397</f>
        <v>0</v>
      </c>
      <c r="M396" s="105">
        <f>M397</f>
        <v>0</v>
      </c>
      <c r="N396" s="49" t="e">
        <f>#REF!</f>
        <v>#REF!</v>
      </c>
      <c r="O396" s="127"/>
      <c r="P396" s="105">
        <f t="shared" si="127"/>
        <v>43894.3</v>
      </c>
      <c r="Q396" s="115">
        <f t="shared" si="128"/>
        <v>32920.8</v>
      </c>
      <c r="R396" s="115">
        <f t="shared" si="129"/>
        <v>-10973.5</v>
      </c>
      <c r="S396" s="126">
        <f t="shared" si="130"/>
        <v>75.0001708650098</v>
      </c>
    </row>
    <row r="397" spans="1:19" s="6" customFormat="1" ht="34.5" customHeight="1">
      <c r="A397" s="38">
        <v>4</v>
      </c>
      <c r="B397" s="6">
        <v>46</v>
      </c>
      <c r="C397" s="4" t="s">
        <v>372</v>
      </c>
      <c r="D397" s="4" t="s">
        <v>373</v>
      </c>
      <c r="E397" s="4" t="s">
        <v>46</v>
      </c>
      <c r="F397" s="27" t="s">
        <v>20</v>
      </c>
      <c r="G397" s="104">
        <v>43894.3</v>
      </c>
      <c r="H397" s="104">
        <v>32920.8</v>
      </c>
      <c r="I397" s="107">
        <f t="shared" si="126"/>
        <v>75.0001708650098</v>
      </c>
      <c r="J397" s="104">
        <f t="shared" si="123"/>
        <v>0</v>
      </c>
      <c r="K397" s="112"/>
      <c r="L397" s="104"/>
      <c r="M397" s="104"/>
      <c r="N397" s="86"/>
      <c r="O397" s="127"/>
      <c r="P397" s="105">
        <f t="shared" si="127"/>
        <v>43894.3</v>
      </c>
      <c r="Q397" s="115">
        <f t="shared" si="128"/>
        <v>32920.8</v>
      </c>
      <c r="R397" s="115">
        <f t="shared" si="129"/>
        <v>-10973.5</v>
      </c>
      <c r="S397" s="126">
        <f t="shared" si="130"/>
        <v>75.0001708650098</v>
      </c>
    </row>
    <row r="398" spans="3:19" s="69" customFormat="1" ht="29.25" customHeight="1">
      <c r="C398" s="70"/>
      <c r="D398" s="70"/>
      <c r="E398" s="70"/>
      <c r="F398" s="73" t="s">
        <v>9</v>
      </c>
      <c r="G398" s="111">
        <f aca="true" t="shared" si="138" ref="G398:N398">G376+G382+G387+G392+G396+G379</f>
        <v>51334.4</v>
      </c>
      <c r="H398" s="111">
        <f t="shared" si="138"/>
        <v>35760.9</v>
      </c>
      <c r="I398" s="107">
        <f t="shared" si="126"/>
        <v>69.66264337364419</v>
      </c>
      <c r="J398" s="111">
        <f t="shared" si="138"/>
        <v>0</v>
      </c>
      <c r="K398" s="111">
        <f t="shared" si="138"/>
        <v>0</v>
      </c>
      <c r="L398" s="111">
        <f t="shared" si="138"/>
        <v>0</v>
      </c>
      <c r="M398" s="111">
        <f t="shared" si="138"/>
        <v>0</v>
      </c>
      <c r="N398" s="78" t="e">
        <f t="shared" si="138"/>
        <v>#REF!</v>
      </c>
      <c r="O398" s="127"/>
      <c r="P398" s="105">
        <f t="shared" si="127"/>
        <v>51334.4</v>
      </c>
      <c r="Q398" s="115">
        <f t="shared" si="128"/>
        <v>35760.9</v>
      </c>
      <c r="R398" s="115">
        <f t="shared" si="129"/>
        <v>-15573.5</v>
      </c>
      <c r="S398" s="126">
        <f t="shared" si="130"/>
        <v>69.66264337364419</v>
      </c>
    </row>
    <row r="399" spans="3:22" s="69" customFormat="1" ht="34.5" customHeight="1">
      <c r="C399" s="70"/>
      <c r="D399" s="70"/>
      <c r="E399" s="70"/>
      <c r="F399" s="57" t="s">
        <v>16</v>
      </c>
      <c r="G399" s="111">
        <f>G373+G242+G398+G333+G204+G192+G81+G37+G352</f>
        <v>418813.8</v>
      </c>
      <c r="H399" s="111">
        <f>H373+H242+H398+H333+H204+H192+H81+H37+H352</f>
        <v>298530.60000000003</v>
      </c>
      <c r="I399" s="107">
        <f t="shared" si="126"/>
        <v>71.28002945461684</v>
      </c>
      <c r="J399" s="111">
        <f>J373+J242+J398+J333+J204+J192+J81+J37+J352</f>
        <v>76038.50000000001</v>
      </c>
      <c r="K399" s="111" t="e">
        <f>K373+K242+K398+K333+K204+K192+K81+K37+K352</f>
        <v>#REF!</v>
      </c>
      <c r="L399" s="111">
        <f>L373+L242+L398+L333+L204+L192+L81+L37+L352</f>
        <v>37165.299999999996</v>
      </c>
      <c r="M399" s="111">
        <f>M373+M242+M398+M333+M204+M192+M81+M37+M352</f>
        <v>25714.299999999996</v>
      </c>
      <c r="N399" s="78" t="e">
        <f>N373+N242+N398+N333+N204+N192+N81+N37+N352</f>
        <v>#REF!</v>
      </c>
      <c r="O399" s="127">
        <f>L399/J399*100</f>
        <v>48.87695049218487</v>
      </c>
      <c r="P399" s="105">
        <f t="shared" si="127"/>
        <v>494852.3</v>
      </c>
      <c r="Q399" s="115">
        <f t="shared" si="128"/>
        <v>335695.9</v>
      </c>
      <c r="R399" s="115">
        <f t="shared" si="129"/>
        <v>-159156.39999999997</v>
      </c>
      <c r="S399" s="126">
        <f t="shared" si="130"/>
        <v>67.8375951773893</v>
      </c>
      <c r="T399" s="154"/>
      <c r="V399" s="154"/>
    </row>
    <row r="400" spans="3:19" ht="41.25" customHeight="1">
      <c r="C400" s="26"/>
      <c r="D400" s="26"/>
      <c r="E400" s="26"/>
      <c r="F400" s="27" t="s">
        <v>573</v>
      </c>
      <c r="G400" s="104">
        <v>137783.2</v>
      </c>
      <c r="H400" s="104">
        <v>93681.9</v>
      </c>
      <c r="I400" s="107">
        <f>H400/G400*100</f>
        <v>67.99225159525979</v>
      </c>
      <c r="J400" s="104">
        <f>J310+J62+J52+J97+J92+J179</f>
        <v>21534</v>
      </c>
      <c r="K400" s="104">
        <f>K310+K62+K52+K97+K92+K179</f>
        <v>0</v>
      </c>
      <c r="L400" s="104">
        <f>L310+L62+L52+L97+L92+L179</f>
        <v>2778</v>
      </c>
      <c r="M400" s="104">
        <f>M310+M62+M52+M97+M92+M179</f>
        <v>2778</v>
      </c>
      <c r="N400" s="104" t="e">
        <f>#REF!+N49+N51+N52+N271+N54+N384+N285+N394</f>
        <v>#REF!</v>
      </c>
      <c r="O400" s="127">
        <f>L400/J400*100</f>
        <v>12.900529395374758</v>
      </c>
      <c r="P400" s="104">
        <f>G400+J400</f>
        <v>159317.2</v>
      </c>
      <c r="Q400" s="104">
        <f>H400+L400</f>
        <v>96459.9</v>
      </c>
      <c r="R400" s="104">
        <f>Q400-P400</f>
        <v>-62857.30000000002</v>
      </c>
      <c r="S400" s="160">
        <f>Q400/P400*100</f>
        <v>60.54581677307911</v>
      </c>
    </row>
    <row r="401" spans="6:16" ht="24.75" customHeight="1" hidden="1">
      <c r="F401" s="1" t="s">
        <v>28</v>
      </c>
      <c r="G401" s="10">
        <f>G51</f>
        <v>1.9</v>
      </c>
      <c r="H401" s="10">
        <f>H51</f>
        <v>0</v>
      </c>
      <c r="I401" s="129"/>
      <c r="J401" s="10">
        <f aca="true" t="shared" si="139" ref="J401:O401">J51</f>
        <v>0</v>
      </c>
      <c r="K401" s="10">
        <f t="shared" si="139"/>
        <v>0</v>
      </c>
      <c r="L401" s="10">
        <f t="shared" si="139"/>
        <v>0</v>
      </c>
      <c r="M401" s="10">
        <f t="shared" si="139"/>
        <v>0</v>
      </c>
      <c r="N401" s="10">
        <f t="shared" si="139"/>
        <v>0</v>
      </c>
      <c r="O401" s="129">
        <f t="shared" si="139"/>
        <v>0</v>
      </c>
      <c r="P401" s="12" t="e">
        <f>#REF!+J401</f>
        <v>#REF!</v>
      </c>
    </row>
    <row r="402" spans="3:19" s="9" customFormat="1" ht="21" customHeight="1" hidden="1">
      <c r="C402" s="22"/>
      <c r="D402" s="22"/>
      <c r="E402" s="22"/>
      <c r="F402" s="23" t="s">
        <v>29</v>
      </c>
      <c r="G402" s="56" t="e">
        <f>#REF!+#REF!</f>
        <v>#REF!</v>
      </c>
      <c r="H402" s="56" t="e">
        <f>#REF!+#REF!</f>
        <v>#REF!</v>
      </c>
      <c r="I402" s="130"/>
      <c r="J402" s="56" t="e">
        <f>#REF!+#REF!</f>
        <v>#REF!</v>
      </c>
      <c r="K402" s="56" t="e">
        <f>#REF!+#REF!</f>
        <v>#REF!</v>
      </c>
      <c r="L402" s="56" t="e">
        <f>#REF!+#REF!</f>
        <v>#REF!</v>
      </c>
      <c r="M402" s="56" t="e">
        <f>#REF!+#REF!</f>
        <v>#REF!</v>
      </c>
      <c r="N402" s="56" t="e">
        <f>#REF!+#REF!</f>
        <v>#REF!</v>
      </c>
      <c r="O402" s="130" t="e">
        <f>#REF!+#REF!</f>
        <v>#REF!</v>
      </c>
      <c r="P402" s="12" t="e">
        <f>#REF!+J402</f>
        <v>#REF!</v>
      </c>
      <c r="Q402" s="65"/>
      <c r="R402" s="64"/>
      <c r="S402" s="131"/>
    </row>
    <row r="403" spans="3:19" s="101" customFormat="1" ht="66" customHeight="1">
      <c r="C403" s="166" t="s">
        <v>445</v>
      </c>
      <c r="D403" s="166"/>
      <c r="E403" s="166"/>
      <c r="F403" s="166"/>
      <c r="G403" s="166"/>
      <c r="H403" s="166"/>
      <c r="I403" s="166"/>
      <c r="J403" s="102"/>
      <c r="K403" s="103"/>
      <c r="L403" s="102"/>
      <c r="M403" s="102"/>
      <c r="N403" s="176" t="s">
        <v>34</v>
      </c>
      <c r="O403" s="176"/>
      <c r="P403" s="176"/>
      <c r="S403" s="132"/>
    </row>
    <row r="404" spans="3:19" s="60" customFormat="1" ht="24.75" customHeight="1">
      <c r="C404" s="59"/>
      <c r="D404" s="59"/>
      <c r="E404" s="59"/>
      <c r="F404" s="77"/>
      <c r="G404" s="56"/>
      <c r="H404" s="56"/>
      <c r="I404" s="130"/>
      <c r="J404" s="56"/>
      <c r="K404" s="56"/>
      <c r="L404" s="56">
        <f>L348+L323+L241+L77</f>
        <v>101.5</v>
      </c>
      <c r="M404" s="56"/>
      <c r="N404" s="56"/>
      <c r="O404" s="130"/>
      <c r="P404" s="56"/>
      <c r="S404" s="133"/>
    </row>
    <row r="405" spans="3:19" s="60" customFormat="1" ht="25.5" customHeight="1">
      <c r="C405" s="59"/>
      <c r="D405" s="59"/>
      <c r="E405" s="59"/>
      <c r="F405" s="77"/>
      <c r="G405" s="92"/>
      <c r="H405" s="92"/>
      <c r="I405" s="134"/>
      <c r="J405" s="92"/>
      <c r="K405" s="92"/>
      <c r="L405" s="92"/>
      <c r="M405" s="92"/>
      <c r="N405" s="92"/>
      <c r="O405" s="134"/>
      <c r="P405" s="94"/>
      <c r="S405" s="133"/>
    </row>
    <row r="406" spans="3:19" s="60" customFormat="1" ht="51.75" customHeight="1">
      <c r="C406" s="59"/>
      <c r="D406" s="59"/>
      <c r="E406" s="59"/>
      <c r="F406" s="77"/>
      <c r="G406" s="161"/>
      <c r="H406" s="162"/>
      <c r="I406" s="135"/>
      <c r="J406" s="61"/>
      <c r="K406" s="62"/>
      <c r="L406" s="61"/>
      <c r="M406" s="61"/>
      <c r="N406" s="63"/>
      <c r="O406" s="136"/>
      <c r="P406" s="63"/>
      <c r="S406" s="133"/>
    </row>
    <row r="407" spans="3:19" s="60" customFormat="1" ht="51.75" customHeight="1">
      <c r="C407" s="59"/>
      <c r="D407" s="59"/>
      <c r="E407" s="59"/>
      <c r="F407" s="77"/>
      <c r="G407" s="59"/>
      <c r="H407" s="162"/>
      <c r="I407" s="135"/>
      <c r="J407" s="61"/>
      <c r="K407" s="62"/>
      <c r="L407" s="61"/>
      <c r="M407" s="61"/>
      <c r="N407" s="63"/>
      <c r="O407" s="136"/>
      <c r="P407" s="63"/>
      <c r="S407" s="133"/>
    </row>
    <row r="408" spans="3:19" s="16" customFormat="1" ht="20.25">
      <c r="C408" s="21"/>
      <c r="D408" s="21"/>
      <c r="E408" s="21"/>
      <c r="F408" s="78"/>
      <c r="G408" s="12"/>
      <c r="H408" s="12"/>
      <c r="I408" s="29"/>
      <c r="J408" s="11"/>
      <c r="K408" s="12"/>
      <c r="L408" s="13"/>
      <c r="M408" s="13"/>
      <c r="O408" s="138"/>
      <c r="P408" s="12"/>
      <c r="S408" s="137"/>
    </row>
    <row r="409" spans="3:19" s="16" customFormat="1" ht="20.25">
      <c r="C409" s="21"/>
      <c r="D409" s="21"/>
      <c r="E409" s="21"/>
      <c r="F409" s="82"/>
      <c r="G409" s="12"/>
      <c r="H409" s="12"/>
      <c r="I409" s="29"/>
      <c r="J409" s="11"/>
      <c r="K409" s="12"/>
      <c r="L409" s="13"/>
      <c r="M409" s="13"/>
      <c r="O409" s="138"/>
      <c r="P409" s="12"/>
      <c r="S409" s="137"/>
    </row>
    <row r="410" spans="3:19" s="16" customFormat="1" ht="20.25">
      <c r="C410" s="21"/>
      <c r="D410" s="21"/>
      <c r="E410" s="21"/>
      <c r="F410" s="83"/>
      <c r="G410" s="11"/>
      <c r="H410" s="11"/>
      <c r="I410" s="37"/>
      <c r="J410" s="11"/>
      <c r="K410" s="12"/>
      <c r="L410" s="13"/>
      <c r="M410" s="13"/>
      <c r="O410" s="138"/>
      <c r="P410" s="12"/>
      <c r="S410" s="137"/>
    </row>
    <row r="411" spans="6:16" ht="20.25">
      <c r="F411" s="79"/>
      <c r="G411" s="10"/>
      <c r="H411" s="10"/>
      <c r="I411" s="129"/>
      <c r="J411" s="39"/>
      <c r="K411" s="40"/>
      <c r="L411" s="40"/>
      <c r="M411" s="40"/>
      <c r="N411" s="39"/>
      <c r="O411" s="139"/>
      <c r="P411" s="39"/>
    </row>
    <row r="412" spans="3:19" s="6" customFormat="1" ht="18.75">
      <c r="C412" s="21"/>
      <c r="D412" s="21"/>
      <c r="E412" s="21"/>
      <c r="F412" s="80"/>
      <c r="G412" s="163"/>
      <c r="H412" s="10"/>
      <c r="I412" s="129"/>
      <c r="J412" s="10"/>
      <c r="K412" s="10"/>
      <c r="L412" s="10"/>
      <c r="M412" s="10"/>
      <c r="N412" s="10"/>
      <c r="O412" s="129"/>
      <c r="P412" s="10"/>
      <c r="S412" s="30"/>
    </row>
    <row r="413" spans="3:19" s="6" customFormat="1" ht="18.75">
      <c r="C413" s="21"/>
      <c r="D413" s="21"/>
      <c r="E413" s="21"/>
      <c r="F413" s="81"/>
      <c r="G413" s="163"/>
      <c r="H413" s="10"/>
      <c r="I413" s="129"/>
      <c r="J413" s="10"/>
      <c r="K413" s="10"/>
      <c r="L413" s="10"/>
      <c r="M413" s="10"/>
      <c r="N413" s="10"/>
      <c r="O413" s="129"/>
      <c r="P413" s="12"/>
      <c r="S413" s="30"/>
    </row>
    <row r="414" spans="3:19" s="6" customFormat="1" ht="18.75">
      <c r="C414" s="21"/>
      <c r="D414" s="21"/>
      <c r="E414" s="21"/>
      <c r="F414" s="85"/>
      <c r="G414" s="163"/>
      <c r="H414" s="10"/>
      <c r="I414" s="129"/>
      <c r="J414" s="10"/>
      <c r="K414" s="10"/>
      <c r="L414" s="10"/>
      <c r="M414" s="10"/>
      <c r="N414" s="10"/>
      <c r="O414" s="129"/>
      <c r="P414" s="12"/>
      <c r="S414" s="30"/>
    </row>
    <row r="415" spans="3:19" s="6" customFormat="1" ht="18.75">
      <c r="C415" s="21"/>
      <c r="D415" s="21"/>
      <c r="E415" s="21"/>
      <c r="F415" s="84"/>
      <c r="G415" s="12"/>
      <c r="H415" s="12"/>
      <c r="I415" s="29"/>
      <c r="J415" s="10"/>
      <c r="K415" s="151"/>
      <c r="L415" s="10"/>
      <c r="M415" s="10"/>
      <c r="N415" s="10"/>
      <c r="O415" s="129"/>
      <c r="P415" s="17"/>
      <c r="S415" s="30"/>
    </row>
    <row r="416" spans="6:15" ht="18.75">
      <c r="F416" s="84"/>
      <c r="G416" s="5"/>
      <c r="H416" s="5"/>
      <c r="I416" s="140"/>
      <c r="J416" s="5"/>
      <c r="K416" s="18"/>
      <c r="L416" s="5"/>
      <c r="M416" s="5"/>
      <c r="N416" s="5"/>
      <c r="O416" s="140"/>
    </row>
    <row r="417" spans="6:15" ht="18.75">
      <c r="F417" s="84"/>
      <c r="G417" s="5"/>
      <c r="H417" s="5"/>
      <c r="I417" s="140"/>
      <c r="J417" s="5"/>
      <c r="K417" s="18"/>
      <c r="L417" s="5"/>
      <c r="M417" s="5"/>
      <c r="N417" s="5"/>
      <c r="O417" s="140"/>
    </row>
    <row r="418" spans="6:9" ht="18.75">
      <c r="F418" s="56"/>
      <c r="G418" s="10"/>
      <c r="H418" s="10"/>
      <c r="I418" s="129"/>
    </row>
    <row r="419" spans="6:15" ht="18.75">
      <c r="F419" s="84"/>
      <c r="G419" s="5"/>
      <c r="J419" s="5"/>
      <c r="K419" s="152"/>
      <c r="L419" s="5"/>
      <c r="M419" s="5"/>
      <c r="N419" s="5"/>
      <c r="O419" s="140"/>
    </row>
    <row r="420" ht="18.75">
      <c r="F420" s="54"/>
    </row>
    <row r="421" spans="6:15" ht="18.75">
      <c r="F421" s="54"/>
      <c r="G421" s="164"/>
      <c r="J421" s="5"/>
      <c r="K421" s="153"/>
      <c r="L421" s="5"/>
      <c r="M421" s="5"/>
      <c r="N421" s="5"/>
      <c r="O421" s="140"/>
    </row>
    <row r="422" spans="6:7" ht="18.75">
      <c r="F422" s="54"/>
      <c r="G422" s="165"/>
    </row>
    <row r="423" spans="6:7" ht="18.75">
      <c r="F423" s="54"/>
      <c r="G423" s="165"/>
    </row>
    <row r="424" ht="18.75">
      <c r="F424" s="54"/>
    </row>
    <row r="425" ht="18.75">
      <c r="F425" s="10"/>
    </row>
    <row r="426" spans="3:16" ht="18.75">
      <c r="C426" s="2"/>
      <c r="D426" s="2"/>
      <c r="E426" s="2"/>
      <c r="F426" s="2"/>
      <c r="G426" s="2"/>
      <c r="H426" s="2"/>
      <c r="I426" s="121"/>
      <c r="J426" s="2"/>
      <c r="K426" s="2"/>
      <c r="L426" s="2"/>
      <c r="M426" s="2"/>
      <c r="N426" s="2"/>
      <c r="O426" s="121"/>
      <c r="P426" s="2"/>
    </row>
    <row r="427" spans="3:16" ht="18.75">
      <c r="C427" s="2"/>
      <c r="D427" s="2"/>
      <c r="E427" s="2"/>
      <c r="F427" s="2"/>
      <c r="G427" s="2"/>
      <c r="H427" s="2"/>
      <c r="I427" s="121"/>
      <c r="J427" s="2"/>
      <c r="K427" s="2"/>
      <c r="L427" s="2"/>
      <c r="M427" s="2"/>
      <c r="N427" s="2"/>
      <c r="O427" s="121"/>
      <c r="P427" s="2"/>
    </row>
    <row r="433" spans="3:16" ht="18.75">
      <c r="C433" s="2"/>
      <c r="D433" s="2"/>
      <c r="E433" s="2"/>
      <c r="F433" s="2"/>
      <c r="G433" s="2"/>
      <c r="H433" s="2"/>
      <c r="I433" s="121"/>
      <c r="J433" s="2"/>
      <c r="K433" s="2"/>
      <c r="L433" s="2"/>
      <c r="M433" s="2"/>
      <c r="N433" s="2"/>
      <c r="O433" s="121"/>
      <c r="P433" s="2"/>
    </row>
    <row r="434" spans="3:16" ht="18.75">
      <c r="C434" s="2"/>
      <c r="D434" s="2"/>
      <c r="E434" s="2"/>
      <c r="F434" s="2"/>
      <c r="G434" s="2"/>
      <c r="H434" s="2"/>
      <c r="I434" s="121"/>
      <c r="J434" s="2"/>
      <c r="K434" s="2"/>
      <c r="L434" s="2"/>
      <c r="M434" s="2"/>
      <c r="N434" s="2"/>
      <c r="O434" s="121"/>
      <c r="P434" s="2"/>
    </row>
    <row r="435" spans="3:16" ht="18.75">
      <c r="C435" s="2"/>
      <c r="D435" s="2"/>
      <c r="E435" s="2"/>
      <c r="F435" s="2"/>
      <c r="G435" s="2"/>
      <c r="H435" s="2"/>
      <c r="I435" s="121"/>
      <c r="J435" s="2"/>
      <c r="K435" s="2"/>
      <c r="L435" s="2"/>
      <c r="M435" s="2"/>
      <c r="N435" s="2"/>
      <c r="O435" s="121"/>
      <c r="P435" s="2"/>
    </row>
    <row r="436" spans="3:16" ht="18.75">
      <c r="C436" s="2"/>
      <c r="D436" s="2"/>
      <c r="E436" s="2"/>
      <c r="F436" s="2"/>
      <c r="G436" s="2"/>
      <c r="H436" s="2"/>
      <c r="I436" s="121"/>
      <c r="J436" s="2"/>
      <c r="K436" s="2"/>
      <c r="L436" s="2"/>
      <c r="M436" s="2"/>
      <c r="N436" s="2"/>
      <c r="O436" s="121"/>
      <c r="P436" s="2"/>
    </row>
    <row r="437" spans="3:16" ht="18.75">
      <c r="C437" s="2"/>
      <c r="D437" s="2"/>
      <c r="E437" s="2"/>
      <c r="F437" s="2"/>
      <c r="G437" s="2"/>
      <c r="H437" s="2"/>
      <c r="I437" s="121"/>
      <c r="J437" s="2"/>
      <c r="K437" s="2"/>
      <c r="L437" s="2"/>
      <c r="M437" s="2"/>
      <c r="N437" s="2"/>
      <c r="O437" s="121"/>
      <c r="P437" s="2"/>
    </row>
    <row r="438" spans="3:16" ht="18.75">
      <c r="C438" s="2"/>
      <c r="D438" s="2"/>
      <c r="E438" s="2"/>
      <c r="F438" s="2"/>
      <c r="G438" s="2"/>
      <c r="H438" s="2"/>
      <c r="I438" s="121"/>
      <c r="J438" s="2"/>
      <c r="K438" s="2"/>
      <c r="L438" s="2"/>
      <c r="M438" s="2"/>
      <c r="N438" s="2"/>
      <c r="O438" s="121"/>
      <c r="P438" s="2"/>
    </row>
    <row r="439" spans="3:16" ht="18.75">
      <c r="C439" s="2"/>
      <c r="D439" s="2"/>
      <c r="E439" s="2"/>
      <c r="F439" s="2"/>
      <c r="G439" s="2"/>
      <c r="H439" s="2"/>
      <c r="I439" s="121"/>
      <c r="J439" s="2"/>
      <c r="K439" s="2"/>
      <c r="L439" s="2"/>
      <c r="M439" s="2"/>
      <c r="N439" s="2"/>
      <c r="O439" s="121"/>
      <c r="P439" s="2"/>
    </row>
    <row r="440" spans="3:16" ht="18.75">
      <c r="C440" s="2"/>
      <c r="D440" s="2"/>
      <c r="E440" s="2"/>
      <c r="F440" s="2"/>
      <c r="G440" s="2"/>
      <c r="H440" s="2"/>
      <c r="I440" s="121"/>
      <c r="J440" s="2"/>
      <c r="K440" s="2"/>
      <c r="L440" s="2"/>
      <c r="M440" s="2"/>
      <c r="N440" s="2"/>
      <c r="O440" s="121"/>
      <c r="P440" s="2"/>
    </row>
    <row r="441" spans="3:16" ht="18.75">
      <c r="C441" s="2"/>
      <c r="D441" s="2"/>
      <c r="E441" s="2"/>
      <c r="F441" s="2"/>
      <c r="G441" s="2"/>
      <c r="H441" s="2"/>
      <c r="I441" s="121"/>
      <c r="J441" s="2"/>
      <c r="K441" s="2"/>
      <c r="L441" s="2"/>
      <c r="M441" s="2"/>
      <c r="N441" s="2"/>
      <c r="O441" s="121"/>
      <c r="P441" s="2"/>
    </row>
    <row r="442" spans="3:16" ht="18.75">
      <c r="C442" s="2"/>
      <c r="D442" s="2"/>
      <c r="E442" s="2"/>
      <c r="F442" s="2"/>
      <c r="G442" s="2"/>
      <c r="H442" s="2"/>
      <c r="I442" s="121"/>
      <c r="J442" s="2"/>
      <c r="K442" s="2"/>
      <c r="L442" s="2"/>
      <c r="M442" s="2"/>
      <c r="N442" s="2"/>
      <c r="O442" s="121"/>
      <c r="P442" s="2"/>
    </row>
    <row r="443" spans="3:16" ht="18.75">
      <c r="C443" s="2"/>
      <c r="D443" s="2"/>
      <c r="E443" s="2"/>
      <c r="F443" s="2"/>
      <c r="G443" s="2"/>
      <c r="H443" s="2"/>
      <c r="I443" s="121"/>
      <c r="J443" s="2"/>
      <c r="K443" s="2"/>
      <c r="L443" s="2"/>
      <c r="M443" s="2"/>
      <c r="N443" s="2"/>
      <c r="O443" s="121"/>
      <c r="P443" s="2"/>
    </row>
    <row r="445" spans="3:16" ht="18.75">
      <c r="C445" s="2"/>
      <c r="D445" s="2"/>
      <c r="E445" s="2"/>
      <c r="F445" s="2"/>
      <c r="G445" s="2"/>
      <c r="H445" s="2"/>
      <c r="I445" s="121"/>
      <c r="J445" s="2"/>
      <c r="K445" s="2"/>
      <c r="L445" s="2"/>
      <c r="M445" s="2"/>
      <c r="N445" s="2"/>
      <c r="O445" s="121"/>
      <c r="P445" s="2"/>
    </row>
  </sheetData>
  <sheetProtection/>
  <mergeCells count="27">
    <mergeCell ref="N1:P1"/>
    <mergeCell ref="L1:M1"/>
    <mergeCell ref="F7:F8"/>
    <mergeCell ref="J8:J10"/>
    <mergeCell ref="K8:K10"/>
    <mergeCell ref="G8:G10"/>
    <mergeCell ref="M9:M10"/>
    <mergeCell ref="N8:N10"/>
    <mergeCell ref="G7:I7"/>
    <mergeCell ref="F4:P4"/>
    <mergeCell ref="F5:P5"/>
    <mergeCell ref="O6:P6"/>
    <mergeCell ref="P7:P10"/>
    <mergeCell ref="L8:M8"/>
    <mergeCell ref="I8:I10"/>
    <mergeCell ref="J7:O7"/>
    <mergeCell ref="L9:L10"/>
    <mergeCell ref="H8:H10"/>
    <mergeCell ref="C403:I403"/>
    <mergeCell ref="Q7:Q10"/>
    <mergeCell ref="R7:R10"/>
    <mergeCell ref="S7:S10"/>
    <mergeCell ref="O8:O10"/>
    <mergeCell ref="N403:P403"/>
    <mergeCell ref="C7:C10"/>
    <mergeCell ref="D7:D10"/>
    <mergeCell ref="E7:E10"/>
  </mergeCells>
  <conditionalFormatting sqref="K285 K45:K47 H378 K49:N49 K65:M66 K209:N209 K247:N247 K378:N378 K42:N42 H44 K52:N59 K64:N64 K384:N384 H384 H389 K389:N389 K395:N395 H395 H386 K386:N386 K51 K391:N391 H391 K357:N360 K250:N252 K16:N17 N45:N47 G42:H42 H209 G247:H247 G16:H17 G250:H252 G357:H360 H338 H341 H344 H346 H348 K61:N62 N60">
    <cfRule type="cellIs" priority="39" dxfId="8" operator="equal" stopIfTrue="1">
      <formula>0</formula>
    </cfRule>
  </conditionalFormatting>
  <conditionalFormatting sqref="N65:N66">
    <cfRule type="cellIs" priority="25" dxfId="8" operator="equal" stopIfTrue="1">
      <formula>0</formula>
    </cfRule>
  </conditionalFormatting>
  <conditionalFormatting sqref="K338:N338 K341:N341 K344:N344">
    <cfRule type="cellIs" priority="23" dxfId="8" operator="equal" stopIfTrue="1">
      <formula>0</formula>
    </cfRule>
  </conditionalFormatting>
  <conditionalFormatting sqref="J143:J144">
    <cfRule type="cellIs" priority="10" dxfId="8" operator="equal" stopIfTrue="1">
      <formula>0</formula>
    </cfRule>
  </conditionalFormatting>
  <conditionalFormatting sqref="K348:N348 K346:N346">
    <cfRule type="cellIs" priority="8" dxfId="8" operator="equal" stopIfTrue="1">
      <formula>0</formula>
    </cfRule>
  </conditionalFormatting>
  <conditionalFormatting sqref="K50:N50">
    <cfRule type="cellIs" priority="5" dxfId="8" operator="equal" stopIfTrue="1">
      <formula>0</formula>
    </cfRule>
  </conditionalFormatting>
  <conditionalFormatting sqref="L51:N51">
    <cfRule type="cellIs" priority="3" dxfId="8" operator="equal" stopIfTrue="1">
      <formula>0</formula>
    </cfRule>
  </conditionalFormatting>
  <conditionalFormatting sqref="J44:M44">
    <cfRule type="cellIs" priority="1" dxfId="8" operator="equal" stopIfTrue="1">
      <formula>0</formula>
    </cfRule>
  </conditionalFormatting>
  <printOptions horizontalCentered="1"/>
  <pageMargins left="0.11811023622047245" right="0.11811023622047245" top="1.5748031496062993" bottom="0.3937007874015748" header="0.5118110236220472" footer="0"/>
  <pageSetup blackAndWhite="1" fitToHeight="21" fitToWidth="1" horizontalDpi="600" verticalDpi="600" orientation="landscape" paperSize="9" scale="46" r:id="rId1"/>
  <headerFooter differentFirst="1" alignWithMargins="0">
    <oddFooter>&amp;C&amp;P</oddFooter>
  </headerFooter>
  <rowBreaks count="2" manualBreakCount="2">
    <brk id="192" min="2" max="18" man="1"/>
    <brk id="391"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2018-10-24T13:49:21Z</cp:lastPrinted>
  <dcterms:created xsi:type="dcterms:W3CDTF">2002-12-16T07:25:53Z</dcterms:created>
  <dcterms:modified xsi:type="dcterms:W3CDTF">2019-03-06T12:19:49Z</dcterms:modified>
  <cp:category/>
  <cp:version/>
  <cp:contentType/>
  <cp:contentStatus/>
</cp:coreProperties>
</file>